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firstSheet="1" activeTab="1"/>
  </bookViews>
  <sheets>
    <sheet name="Анализ-ГРЦ и Эсбыт" sheetId="1" state="hidden" r:id="rId1"/>
    <sheet name="Эсбыт" sheetId="2" r:id="rId2"/>
    <sheet name="Октябрь" sheetId="3" state="hidden" r:id="rId3"/>
    <sheet name="Сентябрь" sheetId="4" state="hidden" r:id="rId4"/>
    <sheet name="Август" sheetId="5" state="hidden" r:id="rId5"/>
    <sheet name="Июль" sheetId="6" state="hidden" r:id="rId6"/>
    <sheet name="Июнь" sheetId="7" state="hidden" r:id="rId7"/>
    <sheet name="Май" sheetId="8" state="hidden" r:id="rId8"/>
    <sheet name="Апрель" sheetId="9" state="hidden" r:id="rId9"/>
    <sheet name="Март" sheetId="10" state="hidden" r:id="rId10"/>
    <sheet name="Февраль" sheetId="11" state="hidden" r:id="rId11"/>
    <sheet name="Январь" sheetId="12" state="hidden" r:id="rId12"/>
  </sheets>
  <definedNames/>
  <calcPr fullCalcOnLoad="1"/>
</workbook>
</file>

<file path=xl/sharedStrings.xml><?xml version="1.0" encoding="utf-8"?>
<sst xmlns="http://schemas.openxmlformats.org/spreadsheetml/2006/main" count="1815" uniqueCount="189">
  <si>
    <t>27/16</t>
  </si>
  <si>
    <t>9/43</t>
  </si>
  <si>
    <t>37/06</t>
  </si>
  <si>
    <t>37/07</t>
  </si>
  <si>
    <t>37/08</t>
  </si>
  <si>
    <t>37/21</t>
  </si>
  <si>
    <t>37/22</t>
  </si>
  <si>
    <t>37/28</t>
  </si>
  <si>
    <t>37/29</t>
  </si>
  <si>
    <t>38/09А</t>
  </si>
  <si>
    <t>39/02А</t>
  </si>
  <si>
    <t>53/27 Б,В</t>
  </si>
  <si>
    <t>53/31</t>
  </si>
  <si>
    <t>53/42</t>
  </si>
  <si>
    <t>53/44</t>
  </si>
  <si>
    <t>58/12А</t>
  </si>
  <si>
    <t>59/04Бл.1А</t>
  </si>
  <si>
    <t>59/04Бл.2Б</t>
  </si>
  <si>
    <t>59/04Бл.3В</t>
  </si>
  <si>
    <t>60/03</t>
  </si>
  <si>
    <t>60/12</t>
  </si>
  <si>
    <t>60/13</t>
  </si>
  <si>
    <t>60/14</t>
  </si>
  <si>
    <t>60/15</t>
  </si>
  <si>
    <t>60/16</t>
  </si>
  <si>
    <t>62/06-1</t>
  </si>
  <si>
    <t>62/06-2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</si>
  <si>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</si>
  <si>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</si>
  <si>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</si>
  <si>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</si>
  <si>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</si>
  <si>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</si>
  <si>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</si>
  <si>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</si>
  <si>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</si>
  <si>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</si>
  <si>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</si>
  <si>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</si>
  <si>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№п/п</t>
  </si>
  <si>
    <t>За год</t>
  </si>
  <si>
    <t>№дома</t>
  </si>
  <si>
    <t xml:space="preserve">37/03 </t>
  </si>
  <si>
    <t>S дома, м2</t>
  </si>
  <si>
    <t xml:space="preserve">Тариф на </t>
  </si>
  <si>
    <t xml:space="preserve"> м2</t>
  </si>
  <si>
    <t>S кв-р</t>
  </si>
  <si>
    <t>№</t>
  </si>
  <si>
    <t>П/П</t>
  </si>
  <si>
    <t>дома</t>
  </si>
  <si>
    <t>ГРЦ</t>
  </si>
  <si>
    <t>S м2</t>
  </si>
  <si>
    <t>э/сбыт и ГРЦ</t>
  </si>
  <si>
    <t>13/02А бл.2</t>
  </si>
  <si>
    <t>36/7-1</t>
  </si>
  <si>
    <t>37/2</t>
  </si>
  <si>
    <t>13/02А бл.1</t>
  </si>
  <si>
    <t>36/6-2</t>
  </si>
  <si>
    <t>53/30</t>
  </si>
  <si>
    <t>36/5</t>
  </si>
  <si>
    <t>36/7-2</t>
  </si>
  <si>
    <t>36-2-1</t>
  </si>
  <si>
    <t>36-2-2</t>
  </si>
  <si>
    <t>37/1</t>
  </si>
  <si>
    <t>37/27</t>
  </si>
  <si>
    <t>36-7-2</t>
  </si>
  <si>
    <t>36/6-1</t>
  </si>
  <si>
    <t>36-2-3</t>
  </si>
  <si>
    <t>36-3-2</t>
  </si>
  <si>
    <t>гл.инженер _____________ Хасанова Т.В.</t>
  </si>
  <si>
    <t>60/06</t>
  </si>
  <si>
    <t>9/42</t>
  </si>
  <si>
    <t>Итого</t>
  </si>
  <si>
    <t>Э/сбыт</t>
  </si>
  <si>
    <t>Разница м/у</t>
  </si>
  <si>
    <t xml:space="preserve"> 40лет Победы</t>
  </si>
  <si>
    <t>пр. Автозаводский</t>
  </si>
  <si>
    <t>5А</t>
  </si>
  <si>
    <t>62-06/2</t>
  </si>
  <si>
    <t>ул. Акад. Королева</t>
  </si>
  <si>
    <t>25 А</t>
  </si>
  <si>
    <t>62-06/1</t>
  </si>
  <si>
    <t>25 Б</t>
  </si>
  <si>
    <t>ул. Ахметшина</t>
  </si>
  <si>
    <t>37/03</t>
  </si>
  <si>
    <t>пр. Др. Народов</t>
  </si>
  <si>
    <t>б-р Кол Гали</t>
  </si>
  <si>
    <t>20А</t>
  </si>
  <si>
    <t>59/04/2</t>
  </si>
  <si>
    <t>25Б</t>
  </si>
  <si>
    <t>59/04/1</t>
  </si>
  <si>
    <t>25А</t>
  </si>
  <si>
    <t>59/04/3</t>
  </si>
  <si>
    <t>25В</t>
  </si>
  <si>
    <t>пр.Мира</t>
  </si>
  <si>
    <t>6А</t>
  </si>
  <si>
    <t>пр.  Мира</t>
  </si>
  <si>
    <t>8А</t>
  </si>
  <si>
    <t>пр. Московский</t>
  </si>
  <si>
    <t>136А</t>
  </si>
  <si>
    <t>53/27Б.В</t>
  </si>
  <si>
    <t>ул. Раскольникова</t>
  </si>
  <si>
    <t>15А</t>
  </si>
  <si>
    <t>36/7/1</t>
  </si>
  <si>
    <t>36/6/1</t>
  </si>
  <si>
    <t>36/6/2</t>
  </si>
  <si>
    <t>Раскольникова</t>
  </si>
  <si>
    <t>13/02 бл.1</t>
  </si>
  <si>
    <t>Х.Туфана</t>
  </si>
  <si>
    <t>13/02 бл.2</t>
  </si>
  <si>
    <t>45А</t>
  </si>
  <si>
    <t>пр.Чулман</t>
  </si>
  <si>
    <t>17/2</t>
  </si>
  <si>
    <t>пр. Чулман</t>
  </si>
  <si>
    <t>43/23</t>
  </si>
  <si>
    <t>61А</t>
  </si>
  <si>
    <t>27/16А</t>
  </si>
  <si>
    <t>б-р Юных Ленинцев</t>
  </si>
  <si>
    <t>1А</t>
  </si>
  <si>
    <t>Январь</t>
  </si>
  <si>
    <t>36/1</t>
  </si>
  <si>
    <t>10509,4</t>
  </si>
  <si>
    <t>9045,5</t>
  </si>
  <si>
    <t>Оплата</t>
  </si>
  <si>
    <t xml:space="preserve">не хватает </t>
  </si>
  <si>
    <t>Общая</t>
  </si>
  <si>
    <t>36-3-1</t>
  </si>
  <si>
    <t>им.С.Максюты</t>
  </si>
  <si>
    <t>35-9-2</t>
  </si>
  <si>
    <t>35-10</t>
  </si>
  <si>
    <t>35-10-1</t>
  </si>
  <si>
    <t>9/21</t>
  </si>
  <si>
    <t>9/22</t>
  </si>
  <si>
    <t>9/41</t>
  </si>
  <si>
    <t>53/32</t>
  </si>
  <si>
    <t>60/07</t>
  </si>
  <si>
    <t>60/08</t>
  </si>
  <si>
    <t>4А</t>
  </si>
  <si>
    <t>81Б</t>
  </si>
  <si>
    <t>Отопление за  2012г.-общая</t>
  </si>
  <si>
    <t>Энергосбыт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</si>
  <si>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</si>
  <si>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Отопление за Январь 2012 г.</t>
  </si>
  <si>
    <t>Отопление за Февраль 2012 г.</t>
  </si>
  <si>
    <t>35-6-3</t>
  </si>
  <si>
    <t>35-8-1</t>
  </si>
  <si>
    <t xml:space="preserve"> Январь</t>
  </si>
  <si>
    <t>Отопление за Март 2012 г.</t>
  </si>
  <si>
    <t>36-4-3</t>
  </si>
  <si>
    <t>27/17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</si>
  <si>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</si>
  <si>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Отопление за Апрель 2012 г.</t>
  </si>
  <si>
    <t>Q на отопление к пред.</t>
  </si>
  <si>
    <t>ГВС к начислению</t>
  </si>
  <si>
    <t>G ГВС населения</t>
  </si>
  <si>
    <t xml:space="preserve"> Q ГВС Гкал 77,7 населения</t>
  </si>
  <si>
    <t xml:space="preserve"> Q ГВС Гкал населения бойлер</t>
  </si>
  <si>
    <t>Q отопление населения</t>
  </si>
  <si>
    <t>Q всего на вводе прибор без с\а</t>
  </si>
  <si>
    <t>Отопление за Май 2012 г.</t>
  </si>
  <si>
    <t>Q всего насел. без с\а</t>
  </si>
  <si>
    <t>Q всего насел.</t>
  </si>
  <si>
    <t>Отопление за Июнь 2012 г.</t>
  </si>
  <si>
    <t>G ГВС с/а</t>
  </si>
  <si>
    <t xml:space="preserve"> Q ГВС Гкал с/а</t>
  </si>
  <si>
    <t xml:space="preserve">Q всего на вводе прибор </t>
  </si>
  <si>
    <t>Отопление за Июль 2012 г.</t>
  </si>
  <si>
    <t>им.С.Максютова</t>
  </si>
  <si>
    <t>Отопление за Август 2012 г.</t>
  </si>
  <si>
    <t>60/09</t>
  </si>
  <si>
    <t>18/22А</t>
  </si>
  <si>
    <t>ул. Х. Такташа</t>
  </si>
  <si>
    <t>48 мкрн</t>
  </si>
  <si>
    <t>б-р Домостроителей</t>
  </si>
  <si>
    <t>Согласовано:</t>
  </si>
  <si>
    <t>Отопление за Сентябрь 2012 г.</t>
  </si>
  <si>
    <t>Отопление за Октябрь 2012 г.</t>
  </si>
  <si>
    <t xml:space="preserve"> Q ГВС Гкал 66,0населения</t>
  </si>
  <si>
    <t>50/19</t>
  </si>
  <si>
    <t>50/20</t>
  </si>
  <si>
    <t xml:space="preserve"> Q ГВС Гкал 66,132 населения</t>
  </si>
  <si>
    <t>Год</t>
  </si>
  <si>
    <t>Декабрь  31.12.</t>
  </si>
  <si>
    <t>59/04.1А</t>
  </si>
  <si>
    <t>59/04.2Б</t>
  </si>
  <si>
    <t>59/04.3В</t>
  </si>
  <si>
    <t>Истолнитель________________ Гаращенко М.А.</t>
  </si>
  <si>
    <t>Сравнительный анализ потребления тепловой энергии по жилым домам за период с января по ноябрь 2011-2012гг.</t>
  </si>
  <si>
    <t>Примечание: Учет потребления отопления в Гкал.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</si>
</sst>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12">
    <xf numFmtId="0" fontId="0" fillId="0" borderId="0" xfId="0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32" borderId="2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32" borderId="28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2" fontId="0" fillId="0" borderId="11" xfId="0" applyNumberFormat="1" applyBorder="1" applyAlignment="1">
      <alignment/>
    </xf>
    <xf numFmtId="49" fontId="11" fillId="32" borderId="25" xfId="0" applyNumberFormat="1" applyFont="1" applyFill="1" applyBorder="1" applyAlignment="1">
      <alignment horizontal="center"/>
    </xf>
    <xf numFmtId="0" fontId="11" fillId="32" borderId="25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32" borderId="25" xfId="0" applyFont="1" applyFill="1" applyBorder="1" applyAlignment="1">
      <alignment horizontal="right"/>
    </xf>
    <xf numFmtId="0" fontId="13" fillId="0" borderId="32" xfId="0" applyFont="1" applyBorder="1" applyAlignment="1">
      <alignment horizontal="center"/>
    </xf>
    <xf numFmtId="49" fontId="11" fillId="32" borderId="23" xfId="0" applyNumberFormat="1" applyFont="1" applyFill="1" applyBorder="1" applyAlignment="1">
      <alignment horizontal="center"/>
    </xf>
    <xf numFmtId="0" fontId="13" fillId="0" borderId="14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32" borderId="23" xfId="0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2" borderId="35" xfId="0" applyFill="1" applyBorder="1" applyAlignment="1">
      <alignment horizontal="center"/>
    </xf>
    <xf numFmtId="2" fontId="0" fillId="32" borderId="25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2" fontId="0" fillId="32" borderId="38" xfId="0" applyNumberFormat="1" applyFont="1" applyFill="1" applyBorder="1" applyAlignment="1">
      <alignment horizontal="center"/>
    </xf>
    <xf numFmtId="2" fontId="0" fillId="32" borderId="37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32" borderId="36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32" borderId="43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30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4" fillId="34" borderId="24" xfId="0" applyNumberFormat="1" applyFon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14" fillId="34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2" fontId="0" fillId="32" borderId="49" xfId="0" applyNumberForma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1" fillId="32" borderId="35" xfId="0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4" fillId="0" borderId="35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2" fontId="0" fillId="0" borderId="55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32" borderId="56" xfId="0" applyNumberFormat="1" applyFont="1" applyFill="1" applyBorder="1" applyAlignment="1">
      <alignment horizontal="center"/>
    </xf>
    <xf numFmtId="2" fontId="0" fillId="32" borderId="57" xfId="0" applyNumberFormat="1" applyFont="1" applyFill="1" applyBorder="1" applyAlignment="1">
      <alignment horizontal="center"/>
    </xf>
    <xf numFmtId="0" fontId="0" fillId="32" borderId="57" xfId="0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14" fillId="0" borderId="49" xfId="0" applyFont="1" applyBorder="1" applyAlignment="1">
      <alignment horizontal="right"/>
    </xf>
    <xf numFmtId="2" fontId="0" fillId="0" borderId="49" xfId="0" applyNumberFormat="1" applyFont="1" applyBorder="1" applyAlignment="1">
      <alignment/>
    </xf>
    <xf numFmtId="0" fontId="14" fillId="34" borderId="24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7" fillId="0" borderId="11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32" borderId="10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 horizontal="right"/>
    </xf>
    <xf numFmtId="2" fontId="0" fillId="0" borderId="23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0" fontId="16" fillId="32" borderId="25" xfId="0" applyFont="1" applyFill="1" applyBorder="1" applyAlignment="1">
      <alignment horizontal="center"/>
    </xf>
    <xf numFmtId="0" fontId="17" fillId="32" borderId="28" xfId="0" applyFont="1" applyFill="1" applyBorder="1" applyAlignment="1">
      <alignment horizontal="center"/>
    </xf>
    <xf numFmtId="0" fontId="18" fillId="32" borderId="28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0" borderId="51" xfId="0" applyBorder="1" applyAlignment="1">
      <alignment horizontal="right"/>
    </xf>
    <xf numFmtId="2" fontId="0" fillId="0" borderId="32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32" borderId="28" xfId="0" applyNumberFormat="1" applyFill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2" borderId="25" xfId="0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2" fontId="0" fillId="0" borderId="50" xfId="0" applyNumberFormat="1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2" fontId="0" fillId="0" borderId="49" xfId="0" applyNumberFormat="1" applyFont="1" applyBorder="1" applyAlignment="1">
      <alignment horizontal="right"/>
    </xf>
    <xf numFmtId="0" fontId="0" fillId="32" borderId="49" xfId="0" applyFont="1" applyFill="1" applyBorder="1" applyAlignment="1">
      <alignment horizontal="right"/>
    </xf>
    <xf numFmtId="0" fontId="20" fillId="0" borderId="49" xfId="0" applyFont="1" applyFill="1" applyBorder="1" applyAlignment="1">
      <alignment horizontal="right"/>
    </xf>
    <xf numFmtId="0" fontId="20" fillId="0" borderId="49" xfId="0" applyFont="1" applyBorder="1" applyAlignment="1">
      <alignment horizontal="right"/>
    </xf>
    <xf numFmtId="2" fontId="0" fillId="0" borderId="51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49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right"/>
    </xf>
    <xf numFmtId="2" fontId="0" fillId="0" borderId="51" xfId="0" applyNumberFormat="1" applyBorder="1" applyAlignment="1">
      <alignment horizontal="right"/>
    </xf>
    <xf numFmtId="2" fontId="0" fillId="0" borderId="2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32" borderId="27" xfId="0" applyNumberFormat="1" applyFill="1" applyBorder="1" applyAlignment="1">
      <alignment horizontal="center"/>
    </xf>
    <xf numFmtId="2" fontId="0" fillId="32" borderId="32" xfId="0" applyNumberFormat="1" applyFill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0" fillId="33" borderId="36" xfId="0" applyNumberFormat="1" applyFont="1" applyFill="1" applyBorder="1" applyAlignment="1">
      <alignment horizontal="center"/>
    </xf>
    <xf numFmtId="2" fontId="20" fillId="33" borderId="25" xfId="0" applyNumberFormat="1" applyFont="1" applyFill="1" applyBorder="1" applyAlignment="1">
      <alignment horizontal="center"/>
    </xf>
    <xf numFmtId="2" fontId="20" fillId="33" borderId="23" xfId="0" applyNumberFormat="1" applyFont="1" applyFill="1" applyBorder="1" applyAlignment="1">
      <alignment horizontal="center"/>
    </xf>
    <xf numFmtId="2" fontId="20" fillId="33" borderId="49" xfId="0" applyNumberFormat="1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2" fontId="20" fillId="33" borderId="37" xfId="0" applyNumberFormat="1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right"/>
    </xf>
    <xf numFmtId="2" fontId="20" fillId="33" borderId="10" xfId="0" applyNumberFormat="1" applyFont="1" applyFill="1" applyBorder="1" applyAlignment="1">
      <alignment/>
    </xf>
    <xf numFmtId="2" fontId="20" fillId="33" borderId="25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32" borderId="23" xfId="0" applyNumberFormat="1" applyFont="1" applyFill="1" applyBorder="1" applyAlignment="1">
      <alignment horizontal="center"/>
    </xf>
    <xf numFmtId="2" fontId="0" fillId="32" borderId="49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2" fontId="0" fillId="32" borderId="25" xfId="0" applyNumberFormat="1" applyFont="1" applyFill="1" applyBorder="1" applyAlignment="1">
      <alignment/>
    </xf>
    <xf numFmtId="2" fontId="0" fillId="0" borderId="50" xfId="0" applyNumberFormat="1" applyFont="1" applyFill="1" applyBorder="1" applyAlignment="1">
      <alignment horizontal="center"/>
    </xf>
    <xf numFmtId="2" fontId="20" fillId="0" borderId="50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0" fontId="7" fillId="0" borderId="24" xfId="0" applyFont="1" applyBorder="1" applyAlignment="1">
      <alignment vertical="justify" wrapText="1"/>
    </xf>
    <xf numFmtId="2" fontId="20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2" fontId="0" fillId="35" borderId="25" xfId="0" applyNumberFormat="1" applyFont="1" applyFill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2" fontId="0" fillId="35" borderId="49" xfId="0" applyNumberFormat="1" applyFont="1" applyFill="1" applyBorder="1" applyAlignment="1">
      <alignment horizontal="center"/>
    </xf>
    <xf numFmtId="2" fontId="0" fillId="35" borderId="25" xfId="0" applyNumberFormat="1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2" fontId="0" fillId="35" borderId="37" xfId="0" applyNumberFormat="1" applyFont="1" applyFill="1" applyBorder="1" applyAlignment="1">
      <alignment horizontal="center"/>
    </xf>
    <xf numFmtId="0" fontId="14" fillId="35" borderId="25" xfId="0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/>
    </xf>
    <xf numFmtId="2" fontId="0" fillId="35" borderId="25" xfId="0" applyNumberFormat="1" applyFont="1" applyFill="1" applyBorder="1" applyAlignment="1">
      <alignment/>
    </xf>
    <xf numFmtId="2" fontId="0" fillId="35" borderId="36" xfId="0" applyNumberFormat="1" applyFont="1" applyFill="1" applyBorder="1" applyAlignment="1">
      <alignment horizontal="center"/>
    </xf>
    <xf numFmtId="2" fontId="20" fillId="35" borderId="36" xfId="0" applyNumberFormat="1" applyFont="1" applyFill="1" applyBorder="1" applyAlignment="1">
      <alignment horizontal="center"/>
    </xf>
    <xf numFmtId="2" fontId="20" fillId="35" borderId="25" xfId="0" applyNumberFormat="1" applyFont="1" applyFill="1" applyBorder="1" applyAlignment="1">
      <alignment horizontal="center"/>
    </xf>
    <xf numFmtId="2" fontId="20" fillId="35" borderId="23" xfId="0" applyNumberFormat="1" applyFont="1" applyFill="1" applyBorder="1" applyAlignment="1">
      <alignment horizontal="center"/>
    </xf>
    <xf numFmtId="2" fontId="20" fillId="35" borderId="49" xfId="0" applyNumberFormat="1" applyFont="1" applyFill="1" applyBorder="1" applyAlignment="1">
      <alignment horizontal="center"/>
    </xf>
    <xf numFmtId="2" fontId="20" fillId="35" borderId="37" xfId="0" applyNumberFormat="1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right"/>
    </xf>
    <xf numFmtId="2" fontId="20" fillId="35" borderId="10" xfId="0" applyNumberFormat="1" applyFont="1" applyFill="1" applyBorder="1" applyAlignment="1">
      <alignment/>
    </xf>
    <xf numFmtId="2" fontId="20" fillId="35" borderId="25" xfId="0" applyNumberFormat="1" applyFont="1" applyFill="1" applyBorder="1" applyAlignment="1">
      <alignment/>
    </xf>
    <xf numFmtId="2" fontId="0" fillId="32" borderId="25" xfId="0" applyNumberFormat="1" applyFont="1" applyFill="1" applyBorder="1" applyAlignment="1">
      <alignment horizontal="center"/>
    </xf>
    <xf numFmtId="0" fontId="14" fillId="32" borderId="46" xfId="0" applyFont="1" applyFill="1" applyBorder="1" applyAlignment="1">
      <alignment horizontal="right"/>
    </xf>
    <xf numFmtId="2" fontId="0" fillId="32" borderId="49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 horizontal="center"/>
    </xf>
    <xf numFmtId="0" fontId="14" fillId="34" borderId="30" xfId="0" applyFont="1" applyFill="1" applyBorder="1" applyAlignment="1">
      <alignment horizontal="right"/>
    </xf>
    <xf numFmtId="0" fontId="14" fillId="34" borderId="10" xfId="0" applyFont="1" applyFill="1" applyBorder="1" applyAlignment="1">
      <alignment horizontal="right"/>
    </xf>
    <xf numFmtId="0" fontId="14" fillId="34" borderId="10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34" borderId="24" xfId="0" applyFont="1" applyFill="1" applyBorder="1" applyAlignment="1">
      <alignment/>
    </xf>
    <xf numFmtId="0" fontId="14" fillId="34" borderId="51" xfId="0" applyFont="1" applyFill="1" applyBorder="1" applyAlignment="1">
      <alignment/>
    </xf>
    <xf numFmtId="0" fontId="22" fillId="0" borderId="22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0" fillId="32" borderId="18" xfId="0" applyNumberForma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1" fillId="32" borderId="24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51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2" fontId="20" fillId="32" borderId="36" xfId="0" applyNumberFormat="1" applyFont="1" applyFill="1" applyBorder="1" applyAlignment="1">
      <alignment horizontal="center"/>
    </xf>
    <xf numFmtId="2" fontId="20" fillId="32" borderId="25" xfId="0" applyNumberFormat="1" applyFont="1" applyFill="1" applyBorder="1" applyAlignment="1">
      <alignment horizontal="center"/>
    </xf>
    <xf numFmtId="2" fontId="20" fillId="32" borderId="23" xfId="0" applyNumberFormat="1" applyFont="1" applyFill="1" applyBorder="1" applyAlignment="1">
      <alignment horizontal="center"/>
    </xf>
    <xf numFmtId="2" fontId="20" fillId="32" borderId="49" xfId="0" applyNumberFormat="1" applyFont="1" applyFill="1" applyBorder="1" applyAlignment="1">
      <alignment horizontal="center"/>
    </xf>
    <xf numFmtId="2" fontId="20" fillId="32" borderId="37" xfId="0" applyNumberFormat="1" applyFont="1" applyFill="1" applyBorder="1" applyAlignment="1">
      <alignment horizontal="center"/>
    </xf>
    <xf numFmtId="0" fontId="20" fillId="32" borderId="46" xfId="0" applyFont="1" applyFill="1" applyBorder="1" applyAlignment="1">
      <alignment horizontal="center"/>
    </xf>
    <xf numFmtId="0" fontId="20" fillId="32" borderId="43" xfId="0" applyFont="1" applyFill="1" applyBorder="1" applyAlignment="1">
      <alignment horizontal="center"/>
    </xf>
    <xf numFmtId="0" fontId="20" fillId="32" borderId="36" xfId="0" applyFont="1" applyFill="1" applyBorder="1" applyAlignment="1">
      <alignment horizontal="center"/>
    </xf>
    <xf numFmtId="0" fontId="19" fillId="32" borderId="25" xfId="0" applyFont="1" applyFill="1" applyBorder="1" applyAlignment="1">
      <alignment horizontal="right"/>
    </xf>
    <xf numFmtId="2" fontId="20" fillId="32" borderId="10" xfId="0" applyNumberFormat="1" applyFont="1" applyFill="1" applyBorder="1" applyAlignment="1">
      <alignment/>
    </xf>
    <xf numFmtId="2" fontId="20" fillId="32" borderId="25" xfId="0" applyNumberFormat="1" applyFont="1" applyFill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0" fillId="32" borderId="58" xfId="0" applyNumberFormat="1" applyFont="1" applyFill="1" applyBorder="1" applyAlignment="1">
      <alignment horizontal="center"/>
    </xf>
    <xf numFmtId="0" fontId="14" fillId="0" borderId="58" xfId="0" applyFont="1" applyBorder="1" applyAlignment="1">
      <alignment horizontal="right"/>
    </xf>
    <xf numFmtId="0" fontId="14" fillId="32" borderId="49" xfId="0" applyFont="1" applyFill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4" fillId="34" borderId="15" xfId="0" applyFont="1" applyFill="1" applyBorder="1" applyAlignment="1">
      <alignment horizontal="right"/>
    </xf>
    <xf numFmtId="0" fontId="0" fillId="32" borderId="31" xfId="0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7" fillId="0" borderId="52" xfId="0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35" borderId="49" xfId="0" applyNumberFormat="1" applyFont="1" applyFill="1" applyBorder="1" applyAlignment="1">
      <alignment horizontal="center"/>
    </xf>
    <xf numFmtId="2" fontId="0" fillId="32" borderId="49" xfId="0" applyNumberFormat="1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35" borderId="36" xfId="0" applyNumberFormat="1" applyFont="1" applyFill="1" applyBorder="1" applyAlignment="1">
      <alignment horizontal="center"/>
    </xf>
    <xf numFmtId="2" fontId="0" fillId="32" borderId="36" xfId="0" applyNumberFormat="1" applyFont="1" applyFill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32" borderId="61" xfId="0" applyNumberFormat="1" applyFont="1" applyFill="1" applyBorder="1" applyAlignment="1">
      <alignment horizontal="center"/>
    </xf>
    <xf numFmtId="2" fontId="0" fillId="32" borderId="60" xfId="0" applyNumberFormat="1" applyFont="1" applyFill="1" applyBorder="1" applyAlignment="1">
      <alignment horizontal="center"/>
    </xf>
    <xf numFmtId="0" fontId="0" fillId="32" borderId="60" xfId="0" applyFont="1" applyFill="1" applyBorder="1" applyAlignment="1">
      <alignment horizontal="center"/>
    </xf>
    <xf numFmtId="2" fontId="20" fillId="32" borderId="43" xfId="0" applyNumberFormat="1" applyFont="1" applyFill="1" applyBorder="1" applyAlignment="1">
      <alignment horizontal="center"/>
    </xf>
    <xf numFmtId="2" fontId="20" fillId="32" borderId="46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14" fillId="32" borderId="0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32" borderId="28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2" fontId="15" fillId="32" borderId="32" xfId="0" applyNumberFormat="1" applyFont="1" applyFill="1" applyBorder="1" applyAlignment="1">
      <alignment horizontal="center"/>
    </xf>
    <xf numFmtId="2" fontId="0" fillId="32" borderId="28" xfId="0" applyNumberFormat="1" applyFont="1" applyFill="1" applyBorder="1" applyAlignment="1">
      <alignment horizontal="center"/>
    </xf>
    <xf numFmtId="2" fontId="0" fillId="32" borderId="32" xfId="0" applyNumberFormat="1" applyFont="1" applyFill="1" applyBorder="1" applyAlignment="1">
      <alignment horizontal="center"/>
    </xf>
    <xf numFmtId="2" fontId="14" fillId="32" borderId="28" xfId="0" applyNumberFormat="1" applyFont="1" applyFill="1" applyBorder="1" applyAlignment="1">
      <alignment horizontal="center"/>
    </xf>
    <xf numFmtId="2" fontId="14" fillId="32" borderId="32" xfId="0" applyNumberFormat="1" applyFont="1" applyFill="1" applyBorder="1" applyAlignment="1">
      <alignment horizontal="center"/>
    </xf>
    <xf numFmtId="2" fontId="14" fillId="32" borderId="18" xfId="0" applyNumberFormat="1" applyFont="1" applyFill="1" applyBorder="1" applyAlignment="1">
      <alignment horizontal="center"/>
    </xf>
    <xf numFmtId="2" fontId="0" fillId="32" borderId="53" xfId="0" applyNumberFormat="1" applyFill="1" applyBorder="1" applyAlignment="1">
      <alignment horizontal="center"/>
    </xf>
    <xf numFmtId="2" fontId="0" fillId="32" borderId="23" xfId="0" applyNumberFormat="1" applyFill="1" applyBorder="1" applyAlignment="1">
      <alignment horizontal="center"/>
    </xf>
    <xf numFmtId="2" fontId="0" fillId="32" borderId="22" xfId="0" applyNumberForma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32" xfId="0" applyNumberFormat="1" applyFont="1" applyFill="1" applyBorder="1" applyAlignment="1">
      <alignment horizontal="center"/>
    </xf>
    <xf numFmtId="0" fontId="0" fillId="32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5" fillId="32" borderId="28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53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7" fillId="0" borderId="62" xfId="0" applyFont="1" applyBorder="1" applyAlignment="1">
      <alignment horizontal="center" wrapText="1"/>
    </xf>
    <xf numFmtId="2" fontId="15" fillId="32" borderId="42" xfId="0" applyNumberFormat="1" applyFont="1" applyFill="1" applyBorder="1" applyAlignment="1">
      <alignment horizontal="center"/>
    </xf>
    <xf numFmtId="2" fontId="15" fillId="32" borderId="44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2" fontId="0" fillId="32" borderId="43" xfId="0" applyNumberFormat="1" applyFont="1" applyFill="1" applyBorder="1" applyAlignment="1">
      <alignment horizontal="center"/>
    </xf>
    <xf numFmtId="2" fontId="14" fillId="32" borderId="43" xfId="0" applyNumberFormat="1" applyFont="1" applyFill="1" applyBorder="1" applyAlignment="1">
      <alignment horizontal="center"/>
    </xf>
    <xf numFmtId="2" fontId="14" fillId="32" borderId="44" xfId="0" applyNumberFormat="1" applyFont="1" applyFill="1" applyBorder="1" applyAlignment="1">
      <alignment horizontal="center"/>
    </xf>
    <xf numFmtId="2" fontId="14" fillId="32" borderId="63" xfId="0" applyNumberFormat="1" applyFont="1" applyFill="1" applyBorder="1" applyAlignment="1">
      <alignment horizontal="center"/>
    </xf>
    <xf numFmtId="2" fontId="7" fillId="0" borderId="63" xfId="0" applyNumberFormat="1" applyFont="1" applyBorder="1" applyAlignment="1">
      <alignment horizontal="center"/>
    </xf>
    <xf numFmtId="2" fontId="0" fillId="32" borderId="42" xfId="0" applyNumberFormat="1" applyFill="1" applyBorder="1" applyAlignment="1">
      <alignment horizontal="center"/>
    </xf>
    <xf numFmtId="2" fontId="0" fillId="32" borderId="43" xfId="0" applyNumberFormat="1" applyFill="1" applyBorder="1" applyAlignment="1">
      <alignment horizontal="center"/>
    </xf>
    <xf numFmtId="2" fontId="0" fillId="32" borderId="44" xfId="0" applyNumberFormat="1" applyFill="1" applyBorder="1" applyAlignment="1">
      <alignment horizontal="center"/>
    </xf>
    <xf numFmtId="2" fontId="0" fillId="32" borderId="63" xfId="0" applyNumberFormat="1" applyFill="1" applyBorder="1" applyAlignment="1">
      <alignment horizontal="center"/>
    </xf>
    <xf numFmtId="2" fontId="0" fillId="32" borderId="64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65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2" borderId="64" xfId="0" applyFill="1" applyBorder="1" applyAlignment="1">
      <alignment horizontal="center"/>
    </xf>
    <xf numFmtId="0" fontId="7" fillId="0" borderId="66" xfId="0" applyFont="1" applyBorder="1" applyAlignment="1">
      <alignment horizontal="center" wrapText="1"/>
    </xf>
    <xf numFmtId="2" fontId="7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32" borderId="27" xfId="0" applyFont="1" applyFill="1" applyBorder="1" applyAlignment="1">
      <alignment horizontal="center"/>
    </xf>
    <xf numFmtId="0" fontId="0" fillId="32" borderId="26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15" fillId="32" borderId="46" xfId="0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2" fontId="15" fillId="32" borderId="27" xfId="0" applyNumberFormat="1" applyFont="1" applyFill="1" applyBorder="1" applyAlignment="1">
      <alignment horizontal="center"/>
    </xf>
    <xf numFmtId="2" fontId="0" fillId="32" borderId="34" xfId="0" applyNumberForma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 vertical="justify" wrapText="1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0" fontId="20" fillId="32" borderId="1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10.375" style="0" customWidth="1"/>
    <col min="4" max="4" width="6.875" style="0" customWidth="1"/>
    <col min="5" max="5" width="7.25390625" style="0" customWidth="1"/>
    <col min="6" max="6" width="7.375" style="0" customWidth="1"/>
    <col min="7" max="7" width="8.00390625" style="0" customWidth="1"/>
    <col min="8" max="8" width="8.875" style="0" customWidth="1"/>
    <col min="9" max="9" width="7.75390625" style="0" customWidth="1"/>
    <col min="10" max="10" width="8.375" style="0" customWidth="1"/>
    <col min="11" max="11" width="7.75390625" style="0" customWidth="1"/>
    <col min="12" max="12" width="7.25390625" style="0" customWidth="1"/>
    <col min="13" max="13" width="7.375" style="0" customWidth="1"/>
    <col min="14" max="14" width="7.25390625" style="0" customWidth="1"/>
    <col min="15" max="15" width="7.75390625" style="0" customWidth="1"/>
    <col min="16" max="16" width="6.75390625" style="0" customWidth="1"/>
    <col min="17" max="17" width="7.375" style="0" customWidth="1"/>
    <col min="18" max="18" width="6.375" style="0" customWidth="1"/>
    <col min="19" max="28" width="9.00390625" style="0" customWidth="1"/>
    <col min="29" max="29" width="8.375" style="0" customWidth="1"/>
    <col min="30" max="30" width="8.75390625" style="0" customWidth="1"/>
    <col min="31" max="31" width="10.375" style="0" customWidth="1"/>
    <col min="33" max="33" width="10.375" style="0" customWidth="1"/>
    <col min="34" max="36" width="10.00390625" style="0" customWidth="1"/>
    <col min="37" max="37" width="11.375" style="0" customWidth="1"/>
    <col min="38" max="38" width="10.625" style="0" customWidth="1"/>
    <col min="39" max="39" width="12.00390625" style="0" customWidth="1"/>
    <col min="40" max="40" width="11.875" style="0" customWidth="1"/>
    <col min="42" max="42" width="10.25390625" style="0" customWidth="1"/>
  </cols>
  <sheetData>
    <row r="3" spans="3:37" ht="18">
      <c r="C3" s="26" t="s">
        <v>139</v>
      </c>
      <c r="D3" s="27"/>
      <c r="E3" s="27"/>
      <c r="F3" s="27"/>
      <c r="G3" s="27"/>
      <c r="H3" s="27"/>
      <c r="I3" s="27"/>
      <c r="J3" s="27"/>
      <c r="K3" s="27"/>
      <c r="L3" s="2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7"/>
      <c r="AI3" s="1"/>
      <c r="AJ3" s="1"/>
      <c r="AK3" s="1"/>
    </row>
    <row r="4" spans="3:37" ht="16.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8" ht="16.5" thickBot="1">
      <c r="B5" s="14" t="s">
        <v>47</v>
      </c>
      <c r="C5" s="16" t="s">
        <v>47</v>
      </c>
      <c r="D5" s="16" t="s">
        <v>46</v>
      </c>
      <c r="E5" s="495" t="s">
        <v>146</v>
      </c>
      <c r="F5" s="496"/>
      <c r="G5" s="495" t="s">
        <v>27</v>
      </c>
      <c r="H5" s="496"/>
      <c r="I5" s="495" t="s">
        <v>28</v>
      </c>
      <c r="J5" s="496"/>
      <c r="K5" s="495" t="s">
        <v>29</v>
      </c>
      <c r="L5" s="496"/>
      <c r="M5" s="495" t="s">
        <v>30</v>
      </c>
      <c r="N5" s="496"/>
      <c r="O5" s="497" t="s">
        <v>31</v>
      </c>
      <c r="P5" s="498"/>
      <c r="Q5" s="497" t="s">
        <v>32</v>
      </c>
      <c r="R5" s="498"/>
      <c r="S5" s="495" t="s">
        <v>33</v>
      </c>
      <c r="T5" s="496"/>
      <c r="U5" s="495" t="s">
        <v>34</v>
      </c>
      <c r="V5" s="496"/>
      <c r="W5" s="495" t="s">
        <v>35</v>
      </c>
      <c r="X5" s="496"/>
      <c r="Y5" s="495" t="s">
        <v>36</v>
      </c>
      <c r="Z5" s="496"/>
      <c r="AA5" s="495" t="s">
        <v>37</v>
      </c>
      <c r="AB5" s="496"/>
      <c r="AC5" s="4" t="s">
        <v>40</v>
      </c>
      <c r="AD5" s="4" t="s">
        <v>40</v>
      </c>
      <c r="AE5" s="13" t="s">
        <v>74</v>
      </c>
      <c r="AF5" s="1"/>
      <c r="AG5" s="2"/>
      <c r="AH5" s="1"/>
      <c r="AI5" s="1"/>
      <c r="AJ5" s="1"/>
      <c r="AK5" s="1"/>
      <c r="AL5" s="1"/>
    </row>
    <row r="6" spans="2:38" ht="13.5" thickBot="1">
      <c r="B6" s="35" t="s">
        <v>48</v>
      </c>
      <c r="C6" s="71" t="s">
        <v>49</v>
      </c>
      <c r="D6" s="45" t="s">
        <v>45</v>
      </c>
      <c r="E6" s="382" t="s">
        <v>123</v>
      </c>
      <c r="F6" s="375" t="s">
        <v>73</v>
      </c>
      <c r="G6" s="382" t="s">
        <v>123</v>
      </c>
      <c r="H6" s="45" t="s">
        <v>73</v>
      </c>
      <c r="I6" s="382" t="s">
        <v>123</v>
      </c>
      <c r="J6" s="16" t="s">
        <v>73</v>
      </c>
      <c r="K6" s="382" t="s">
        <v>123</v>
      </c>
      <c r="L6" s="36" t="s">
        <v>73</v>
      </c>
      <c r="M6" s="395" t="s">
        <v>50</v>
      </c>
      <c r="N6" s="16" t="s">
        <v>73</v>
      </c>
      <c r="O6" s="382" t="s">
        <v>50</v>
      </c>
      <c r="P6" s="375" t="s">
        <v>73</v>
      </c>
      <c r="Q6" s="395" t="s">
        <v>50</v>
      </c>
      <c r="R6" s="16" t="s">
        <v>73</v>
      </c>
      <c r="S6" s="45" t="s">
        <v>50</v>
      </c>
      <c r="T6" s="14" t="s">
        <v>73</v>
      </c>
      <c r="U6" s="45" t="s">
        <v>50</v>
      </c>
      <c r="V6" s="14" t="s">
        <v>73</v>
      </c>
      <c r="W6" s="71" t="s">
        <v>50</v>
      </c>
      <c r="X6" s="45" t="s">
        <v>73</v>
      </c>
      <c r="Y6" s="35" t="s">
        <v>50</v>
      </c>
      <c r="Z6" s="17" t="s">
        <v>73</v>
      </c>
      <c r="AA6" s="35" t="s">
        <v>50</v>
      </c>
      <c r="AB6" s="17" t="s">
        <v>73</v>
      </c>
      <c r="AC6" s="116" t="s">
        <v>123</v>
      </c>
      <c r="AD6" s="24" t="s">
        <v>73</v>
      </c>
      <c r="AE6" s="24" t="s">
        <v>52</v>
      </c>
      <c r="AF6" s="11"/>
      <c r="AG6" s="11"/>
      <c r="AH6" s="12"/>
      <c r="AI6" s="12"/>
      <c r="AJ6" s="12"/>
      <c r="AK6" s="12"/>
      <c r="AL6" s="12"/>
    </row>
    <row r="7" spans="2:38" ht="12.75">
      <c r="B7" s="359">
        <v>1</v>
      </c>
      <c r="C7" s="361" t="s">
        <v>131</v>
      </c>
      <c r="D7" s="309">
        <v>6457.6</v>
      </c>
      <c r="E7" s="383" t="e">
        <f>#REF!</f>
        <v>#REF!</v>
      </c>
      <c r="F7" s="376">
        <f>Эсбыт!F6</f>
        <v>67.082</v>
      </c>
      <c r="G7" s="390" t="e">
        <f>Февраль!#REF!</f>
        <v>#REF!</v>
      </c>
      <c r="H7" s="389">
        <f>Эсбыт!H6</f>
        <v>195.9755</v>
      </c>
      <c r="I7" s="383" t="e">
        <f>#REF!</f>
        <v>#REF!</v>
      </c>
      <c r="J7" s="391">
        <f>Эсбыт!J6</f>
        <v>126.7866</v>
      </c>
      <c r="K7" s="392" t="e">
        <f>#REF!</f>
        <v>#REF!</v>
      </c>
      <c r="L7" s="253">
        <f>Эсбыт!L6</f>
        <v>83.4306</v>
      </c>
      <c r="M7" s="396" t="e">
        <f>#REF!</f>
        <v>#REF!</v>
      </c>
      <c r="N7" s="394">
        <f>Эсбыт!N6</f>
        <v>18.346600000000002</v>
      </c>
      <c r="O7" s="392" t="e">
        <f>#REF!</f>
        <v>#REF!</v>
      </c>
      <c r="P7" s="253">
        <f>Эсбыт!P6</f>
        <v>18.8226</v>
      </c>
      <c r="Q7" s="396" t="e">
        <f>#REF!</f>
        <v>#REF!</v>
      </c>
      <c r="R7" s="394">
        <f>Эсбыт!R6</f>
        <v>9.5454</v>
      </c>
      <c r="S7" s="392" t="e">
        <f>#REF!</f>
        <v>#REF!</v>
      </c>
      <c r="T7" s="394">
        <f>Эсбыт!T6</f>
        <v>12.383</v>
      </c>
      <c r="U7" s="92"/>
      <c r="V7" s="98"/>
      <c r="W7" s="91"/>
      <c r="X7" s="104"/>
      <c r="Y7" s="92"/>
      <c r="Z7" s="80"/>
      <c r="AA7" s="92"/>
      <c r="AB7" s="80"/>
      <c r="AC7" s="39" t="e">
        <f aca="true" t="shared" si="0" ref="AC7:AD11">AA7+Y7+W7+U7+S7+Q7+O7+M7+K7+I7+G7+E7</f>
        <v>#REF!</v>
      </c>
      <c r="AD7" s="40">
        <f t="shared" si="0"/>
        <v>532.3723</v>
      </c>
      <c r="AE7" s="110" t="e">
        <f>AD7-AC7</f>
        <v>#REF!</v>
      </c>
      <c r="AF7" s="11"/>
      <c r="AG7" s="11"/>
      <c r="AH7" s="12"/>
      <c r="AI7" s="12"/>
      <c r="AJ7" s="12"/>
      <c r="AK7" s="12"/>
      <c r="AL7" s="12"/>
    </row>
    <row r="8" spans="2:38" ht="12.75">
      <c r="B8" s="358">
        <f>B7+1</f>
        <v>2</v>
      </c>
      <c r="C8" s="362" t="s">
        <v>132</v>
      </c>
      <c r="D8" s="310">
        <v>12688.5</v>
      </c>
      <c r="E8" s="384" t="e">
        <f>#REF!</f>
        <v>#REF!</v>
      </c>
      <c r="F8" s="377">
        <f>Эсбыт!F7</f>
        <v>171.23000000000002</v>
      </c>
      <c r="G8" s="384" t="e">
        <f>Февраль!#REF!</f>
        <v>#REF!</v>
      </c>
      <c r="H8" s="377">
        <f>Эсбыт!H7</f>
        <v>346.518</v>
      </c>
      <c r="I8" s="384" t="e">
        <f>#REF!</f>
        <v>#REF!</v>
      </c>
      <c r="J8" s="152">
        <f>Эсбыт!J7</f>
        <v>242.3865</v>
      </c>
      <c r="K8" s="93" t="e">
        <f>#REF!</f>
        <v>#REF!</v>
      </c>
      <c r="L8" s="213">
        <f>Эсбыт!L7</f>
        <v>178.94</v>
      </c>
      <c r="M8" s="397" t="e">
        <f>#REF!</f>
        <v>#REF!</v>
      </c>
      <c r="N8" s="211">
        <f>Эсбыт!N7</f>
        <v>42.0445</v>
      </c>
      <c r="O8" s="93" t="e">
        <f>#REF!</f>
        <v>#REF!</v>
      </c>
      <c r="P8" s="232">
        <f>Эсбыт!P7</f>
        <v>39.588339999999995</v>
      </c>
      <c r="Q8" s="397" t="e">
        <f>#REF!</f>
        <v>#REF!</v>
      </c>
      <c r="R8" s="211">
        <f>Эсбыт!R7</f>
        <v>16.395540000000004</v>
      </c>
      <c r="S8" s="93" t="e">
        <f>#REF!</f>
        <v>#REF!</v>
      </c>
      <c r="T8" s="211">
        <f>Эсбыт!T7</f>
        <v>30.5967</v>
      </c>
      <c r="U8" s="86"/>
      <c r="V8" s="99"/>
      <c r="W8" s="87"/>
      <c r="X8" s="105"/>
      <c r="Y8" s="86"/>
      <c r="Z8" s="81"/>
      <c r="AA8" s="86"/>
      <c r="AB8" s="81"/>
      <c r="AC8" s="41" t="e">
        <f t="shared" si="0"/>
        <v>#REF!</v>
      </c>
      <c r="AD8" s="40">
        <f t="shared" si="0"/>
        <v>1067.69958</v>
      </c>
      <c r="AE8" s="84" t="e">
        <f>AD8-AC8</f>
        <v>#REF!</v>
      </c>
      <c r="AF8" s="11"/>
      <c r="AG8" s="11"/>
      <c r="AH8" s="12"/>
      <c r="AI8" s="12"/>
      <c r="AJ8" s="12"/>
      <c r="AK8" s="12"/>
      <c r="AL8" s="12"/>
    </row>
    <row r="9" spans="2:38" ht="12.75">
      <c r="B9" s="358">
        <f aca="true" t="shared" si="1" ref="B9:B68">B8+1</f>
        <v>3</v>
      </c>
      <c r="C9" s="362" t="s">
        <v>133</v>
      </c>
      <c r="D9" s="310">
        <v>11181.7</v>
      </c>
      <c r="E9" s="384" t="e">
        <f>#REF!</f>
        <v>#REF!</v>
      </c>
      <c r="F9" s="377">
        <f>Эсбыт!F8</f>
        <v>144.85812</v>
      </c>
      <c r="G9" s="384" t="e">
        <f>Февраль!#REF!</f>
        <v>#REF!</v>
      </c>
      <c r="H9" s="377">
        <f>Эсбыт!H8</f>
        <v>275.64828</v>
      </c>
      <c r="I9" s="384" t="e">
        <f>#REF!</f>
        <v>#REF!</v>
      </c>
      <c r="J9" s="152">
        <f>Эсбыт!J8</f>
        <v>206.56112</v>
      </c>
      <c r="K9" s="93" t="e">
        <f>#REF!</f>
        <v>#REF!</v>
      </c>
      <c r="L9" s="213">
        <f>Эсбыт!L8</f>
        <v>127.015</v>
      </c>
      <c r="M9" s="397" t="e">
        <f>#REF!</f>
        <v>#REF!</v>
      </c>
      <c r="N9" s="211">
        <f>Эсбыт!N8</f>
        <v>20.200880000000005</v>
      </c>
      <c r="O9" s="93" t="e">
        <f>#REF!</f>
        <v>#REF!</v>
      </c>
      <c r="P9" s="232">
        <f>Эсбыт!P8</f>
        <v>17.61652000000001</v>
      </c>
      <c r="Q9" s="397" t="e">
        <f>#REF!</f>
        <v>#REF!</v>
      </c>
      <c r="R9" s="211">
        <f>Эсбыт!R8</f>
        <v>-1.4672799999999988</v>
      </c>
      <c r="S9" s="93" t="e">
        <f>#REF!</f>
        <v>#REF!</v>
      </c>
      <c r="T9" s="211">
        <f>Эсбыт!T8</f>
        <v>-11.387320000000003</v>
      </c>
      <c r="U9" s="86"/>
      <c r="V9" s="99"/>
      <c r="W9" s="87"/>
      <c r="X9" s="105"/>
      <c r="Y9" s="86"/>
      <c r="Z9" s="81"/>
      <c r="AA9" s="86"/>
      <c r="AB9" s="81"/>
      <c r="AC9" s="41" t="e">
        <f t="shared" si="0"/>
        <v>#REF!</v>
      </c>
      <c r="AD9" s="40">
        <f t="shared" si="0"/>
        <v>779.04532</v>
      </c>
      <c r="AE9" s="84" t="e">
        <f>AD9-AC9</f>
        <v>#REF!</v>
      </c>
      <c r="AF9" s="11"/>
      <c r="AG9" s="11"/>
      <c r="AH9" s="12"/>
      <c r="AI9" s="12"/>
      <c r="AJ9" s="12"/>
      <c r="AK9" s="12"/>
      <c r="AL9" s="12"/>
    </row>
    <row r="10" spans="2:38" ht="12.75">
      <c r="B10" s="358">
        <f t="shared" si="1"/>
        <v>4</v>
      </c>
      <c r="C10" s="362" t="s">
        <v>71</v>
      </c>
      <c r="D10" s="311">
        <v>10509.4</v>
      </c>
      <c r="E10" s="384" t="e">
        <f>#REF!</f>
        <v>#REF!</v>
      </c>
      <c r="F10" s="377">
        <f>Эсбыт!F9</f>
        <v>155.32368</v>
      </c>
      <c r="G10" s="384" t="e">
        <f>Февраль!#REF!</f>
        <v>#REF!</v>
      </c>
      <c r="H10" s="377">
        <f>Эсбыт!H9</f>
        <v>298.4676</v>
      </c>
      <c r="I10" s="384" t="e">
        <f>#REF!</f>
        <v>#REF!</v>
      </c>
      <c r="J10" s="152">
        <f>Эсбыт!J9</f>
        <v>215.67908</v>
      </c>
      <c r="K10" s="93" t="e">
        <f>#REF!</f>
        <v>#REF!</v>
      </c>
      <c r="L10" s="213">
        <f>Эсбыт!L9</f>
        <v>161.37556</v>
      </c>
      <c r="M10" s="397" t="e">
        <f>#REF!</f>
        <v>#REF!</v>
      </c>
      <c r="N10" s="211">
        <f>Эсбыт!N9</f>
        <v>45.52964</v>
      </c>
      <c r="O10" s="93" t="e">
        <f>#REF!</f>
        <v>#REF!</v>
      </c>
      <c r="P10" s="232">
        <f>Эсбыт!P9</f>
        <v>53.58315999999999</v>
      </c>
      <c r="Q10" s="397" t="e">
        <f>#REF!</f>
        <v>#REF!</v>
      </c>
      <c r="R10" s="211">
        <f>Эсбыт!R9</f>
        <v>22.79344</v>
      </c>
      <c r="S10" s="93" t="e">
        <f>#REF!</f>
        <v>#REF!</v>
      </c>
      <c r="T10" s="211">
        <f>Эсбыт!T9</f>
        <v>14.93524</v>
      </c>
      <c r="U10" s="86"/>
      <c r="V10" s="99"/>
      <c r="W10" s="87"/>
      <c r="X10" s="105"/>
      <c r="Y10" s="86"/>
      <c r="Z10" s="60"/>
      <c r="AA10" s="86"/>
      <c r="AB10" s="60"/>
      <c r="AC10" s="41" t="e">
        <f t="shared" si="0"/>
        <v>#REF!</v>
      </c>
      <c r="AD10" s="40">
        <f t="shared" si="0"/>
        <v>967.6874</v>
      </c>
      <c r="AE10" s="41" t="e">
        <f>AD10-AC10</f>
        <v>#REF!</v>
      </c>
      <c r="AF10" s="11"/>
      <c r="AG10" s="11"/>
      <c r="AH10" s="12"/>
      <c r="AI10" s="12"/>
      <c r="AJ10" s="12"/>
      <c r="AK10" s="12"/>
      <c r="AL10" s="12"/>
    </row>
    <row r="11" spans="2:38" ht="12.75" customHeight="1">
      <c r="B11" s="358">
        <f t="shared" si="1"/>
        <v>5</v>
      </c>
      <c r="C11" s="362" t="s">
        <v>1</v>
      </c>
      <c r="D11" s="311">
        <v>9045.5</v>
      </c>
      <c r="E11" s="384" t="e">
        <f>#REF!</f>
        <v>#REF!</v>
      </c>
      <c r="F11" s="377">
        <f>Эсбыт!F10</f>
        <v>102.1521</v>
      </c>
      <c r="G11" s="384" t="e">
        <f>Февраль!#REF!</f>
        <v>#REF!</v>
      </c>
      <c r="H11" s="377">
        <f>Эсбыт!H10</f>
        <v>210.8595</v>
      </c>
      <c r="I11" s="384" t="e">
        <f>#REF!</f>
        <v>#REF!</v>
      </c>
      <c r="J11" s="152">
        <f>Эсбыт!J10</f>
        <v>144.4968</v>
      </c>
      <c r="K11" s="93" t="e">
        <f>#REF!</f>
        <v>#REF!</v>
      </c>
      <c r="L11" s="213">
        <f>Эсбыт!L10</f>
        <v>101.05579999999998</v>
      </c>
      <c r="M11" s="397" t="e">
        <f>#REF!</f>
        <v>#REF!</v>
      </c>
      <c r="N11" s="211">
        <f>Эсбыт!N10</f>
        <v>16.811799999999998</v>
      </c>
      <c r="O11" s="93" t="e">
        <f>#REF!</f>
        <v>#REF!</v>
      </c>
      <c r="P11" s="232">
        <f>Эсбыт!P10</f>
        <v>6.408699999999996</v>
      </c>
      <c r="Q11" s="397" t="e">
        <f>#REF!</f>
        <v>#REF!</v>
      </c>
      <c r="R11" s="211">
        <f>Эсбыт!R10</f>
        <v>2.2448000000000015</v>
      </c>
      <c r="S11" s="93" t="e">
        <f>#REF!</f>
        <v>#REF!</v>
      </c>
      <c r="T11" s="211">
        <f>Эсбыт!T10</f>
        <v>6.7440999999999995</v>
      </c>
      <c r="U11" s="93"/>
      <c r="V11" s="100"/>
      <c r="W11" s="90"/>
      <c r="X11" s="106"/>
      <c r="Y11" s="86"/>
      <c r="Z11" s="60"/>
      <c r="AA11" s="86"/>
      <c r="AB11" s="60"/>
      <c r="AC11" s="41" t="e">
        <f t="shared" si="0"/>
        <v>#REF!</v>
      </c>
      <c r="AD11" s="40">
        <f t="shared" si="0"/>
        <v>590.7736</v>
      </c>
      <c r="AE11" s="41" t="e">
        <f>AD11-AC11</f>
        <v>#REF!</v>
      </c>
      <c r="AF11" s="20"/>
      <c r="AG11" s="20"/>
      <c r="AH11" s="20"/>
      <c r="AI11" s="20"/>
      <c r="AJ11" s="21"/>
      <c r="AK11" s="22"/>
      <c r="AL11" s="20"/>
    </row>
    <row r="12" spans="2:38" ht="12.75" customHeight="1">
      <c r="B12" s="358">
        <f t="shared" si="1"/>
        <v>6</v>
      </c>
      <c r="C12" s="368" t="s">
        <v>56</v>
      </c>
      <c r="D12" s="313">
        <v>7179.6</v>
      </c>
      <c r="E12" s="340" t="e">
        <f>#REF!</f>
        <v>#REF!</v>
      </c>
      <c r="F12" s="343">
        <f>Эсбыт!F11</f>
        <v>104.9396</v>
      </c>
      <c r="G12" s="340" t="e">
        <f>Февраль!#REF!</f>
        <v>#REF!</v>
      </c>
      <c r="H12" s="343">
        <f>Эсбыт!H11</f>
        <v>223.5148</v>
      </c>
      <c r="I12" s="340" t="e">
        <f>#REF!</f>
        <v>#REF!</v>
      </c>
      <c r="J12" s="341">
        <f>Эсбыт!J11</f>
        <v>142.2788</v>
      </c>
      <c r="K12" s="340" t="e">
        <f>#REF!</f>
        <v>#REF!</v>
      </c>
      <c r="L12" s="342">
        <f>Эсбыт!L11</f>
        <v>95.2664</v>
      </c>
      <c r="M12" s="340" t="e">
        <f>#REF!</f>
        <v>#REF!</v>
      </c>
      <c r="N12" s="341">
        <f>Эсбыт!N11</f>
        <v>26.302300000000002</v>
      </c>
      <c r="O12" s="340" t="e">
        <f>#REF!</f>
        <v>#REF!</v>
      </c>
      <c r="P12" s="343">
        <f>Эсбыт!P11</f>
        <v>3.274099999999997</v>
      </c>
      <c r="Q12" s="340" t="e">
        <f>#REF!</f>
        <v>#REF!</v>
      </c>
      <c r="R12" s="341">
        <f>Эсбыт!R11</f>
        <v>-0.05150000000000077</v>
      </c>
      <c r="S12" s="340" t="e">
        <f>#REF!</f>
        <v>#REF!</v>
      </c>
      <c r="T12" s="341">
        <f>Эсбыт!T11</f>
        <v>12.3415</v>
      </c>
      <c r="U12" s="340"/>
      <c r="V12" s="404"/>
      <c r="W12" s="344"/>
      <c r="X12" s="405"/>
      <c r="Y12" s="347"/>
      <c r="Z12" s="348"/>
      <c r="AA12" s="347"/>
      <c r="AB12" s="348"/>
      <c r="AC12" s="349" t="e">
        <f aca="true" t="shared" si="2" ref="AC12:AC68">AA12+Y12+W12+U12+S12+Q12+O12+M12+K12+I12+G12+E12</f>
        <v>#REF!</v>
      </c>
      <c r="AD12" s="350">
        <f aca="true" t="shared" si="3" ref="AD12:AD68">AB12+Z12+X12+V12+T12+R12+P12+N12+L12+J12+H12+F12</f>
        <v>607.8660000000001</v>
      </c>
      <c r="AE12" s="349" t="e">
        <f aca="true" t="shared" si="4" ref="AE12:AE68">AD12-AC12</f>
        <v>#REF!</v>
      </c>
      <c r="AF12" s="20"/>
      <c r="AG12" s="20"/>
      <c r="AH12" s="20"/>
      <c r="AI12" s="20"/>
      <c r="AJ12" s="20"/>
      <c r="AK12" s="22"/>
      <c r="AL12" s="23"/>
    </row>
    <row r="13" spans="2:38" ht="12.75" customHeight="1">
      <c r="B13" s="358">
        <f t="shared" si="1"/>
        <v>7</v>
      </c>
      <c r="C13" s="82" t="s">
        <v>53</v>
      </c>
      <c r="D13" s="312">
        <v>7003.6</v>
      </c>
      <c r="E13" s="384" t="e">
        <f>#REF!</f>
        <v>#REF!</v>
      </c>
      <c r="F13" s="377">
        <f>Эсбыт!F12</f>
        <v>88.5577</v>
      </c>
      <c r="G13" s="384" t="e">
        <f>Февраль!#REF!</f>
        <v>#REF!</v>
      </c>
      <c r="H13" s="377">
        <f>Эсбыт!H12</f>
        <v>196.7704</v>
      </c>
      <c r="I13" s="384" t="e">
        <f>#REF!</f>
        <v>#REF!</v>
      </c>
      <c r="J13" s="152">
        <f>Эсбыт!J12</f>
        <v>130.4067</v>
      </c>
      <c r="K13" s="93" t="e">
        <f>#REF!</f>
        <v>#REF!</v>
      </c>
      <c r="L13" s="213">
        <f>Эсбыт!L12</f>
        <v>89.0225</v>
      </c>
      <c r="M13" s="397" t="e">
        <f>#REF!</f>
        <v>#REF!</v>
      </c>
      <c r="N13" s="211">
        <f>Эсбыт!N12</f>
        <v>22.439299999999996</v>
      </c>
      <c r="O13" s="93" t="e">
        <f>#REF!</f>
        <v>#REF!</v>
      </c>
      <c r="P13" s="232">
        <f>Эсбыт!P12</f>
        <v>17.0781</v>
      </c>
      <c r="Q13" s="397" t="e">
        <f>#REF!</f>
        <v>#REF!</v>
      </c>
      <c r="R13" s="211">
        <f>Эсбыт!R12</f>
        <v>9.877999999999998</v>
      </c>
      <c r="S13" s="93" t="e">
        <f>#REF!</f>
        <v>#REF!</v>
      </c>
      <c r="T13" s="211">
        <f>Эсбыт!T12</f>
        <v>16.7001</v>
      </c>
      <c r="U13" s="93"/>
      <c r="V13" s="100"/>
      <c r="W13" s="90"/>
      <c r="X13" s="106"/>
      <c r="Y13" s="86"/>
      <c r="Z13" s="61"/>
      <c r="AA13" s="86"/>
      <c r="AB13" s="61"/>
      <c r="AC13" s="41" t="e">
        <f t="shared" si="2"/>
        <v>#REF!</v>
      </c>
      <c r="AD13" s="40">
        <f t="shared" si="3"/>
        <v>570.8528</v>
      </c>
      <c r="AE13" s="41" t="e">
        <f t="shared" si="4"/>
        <v>#REF!</v>
      </c>
      <c r="AF13" s="20"/>
      <c r="AG13" s="20"/>
      <c r="AH13" s="20"/>
      <c r="AI13" s="20"/>
      <c r="AJ13" s="20"/>
      <c r="AK13" s="22"/>
      <c r="AL13" s="23"/>
    </row>
    <row r="14" spans="2:38" ht="12.75" customHeight="1">
      <c r="B14" s="358">
        <f t="shared" si="1"/>
        <v>8</v>
      </c>
      <c r="C14" s="83" t="s">
        <v>0</v>
      </c>
      <c r="D14" s="312">
        <v>6727.7</v>
      </c>
      <c r="E14" s="384" t="e">
        <f>#REF!</f>
        <v>#REF!</v>
      </c>
      <c r="F14" s="377">
        <f>Эсбыт!F13</f>
        <v>73.1648</v>
      </c>
      <c r="G14" s="384" t="e">
        <f>Февраль!#REF!</f>
        <v>#REF!</v>
      </c>
      <c r="H14" s="377">
        <f>Эсбыт!H13</f>
        <v>165.2163</v>
      </c>
      <c r="I14" s="384" t="e">
        <f>#REF!</f>
        <v>#REF!</v>
      </c>
      <c r="J14" s="152">
        <f>Эсбыт!J13</f>
        <v>108.4729</v>
      </c>
      <c r="K14" s="93" t="e">
        <f>#REF!</f>
        <v>#REF!</v>
      </c>
      <c r="L14" s="213">
        <f>Эсбыт!L13</f>
        <v>63.3027</v>
      </c>
      <c r="M14" s="397" t="e">
        <f>#REF!</f>
        <v>#REF!</v>
      </c>
      <c r="N14" s="211">
        <f>Эсбыт!N13</f>
        <v>3.8087000000000018</v>
      </c>
      <c r="O14" s="93" t="e">
        <f>#REF!</f>
        <v>#REF!</v>
      </c>
      <c r="P14" s="232">
        <f>Эсбыт!P13</f>
        <v>-2.6977000000000046</v>
      </c>
      <c r="Q14" s="397" t="e">
        <f>#REF!</f>
        <v>#REF!</v>
      </c>
      <c r="R14" s="211">
        <f>Эсбыт!R13</f>
        <v>0.16579999999999906</v>
      </c>
      <c r="S14" s="93" t="e">
        <f>#REF!</f>
        <v>#REF!</v>
      </c>
      <c r="T14" s="211">
        <f>Эсбыт!T13</f>
        <v>0.2953999999999972</v>
      </c>
      <c r="U14" s="93"/>
      <c r="V14" s="100"/>
      <c r="W14" s="90"/>
      <c r="X14" s="106"/>
      <c r="Y14" s="86"/>
      <c r="Z14" s="62"/>
      <c r="AA14" s="86"/>
      <c r="AB14" s="62"/>
      <c r="AC14" s="41" t="e">
        <f t="shared" si="2"/>
        <v>#REF!</v>
      </c>
      <c r="AD14" s="40">
        <f t="shared" si="3"/>
        <v>411.7289</v>
      </c>
      <c r="AE14" s="41" t="e">
        <f t="shared" si="4"/>
        <v>#REF!</v>
      </c>
      <c r="AF14" s="20"/>
      <c r="AG14" s="20"/>
      <c r="AH14" s="20"/>
      <c r="AI14" s="20"/>
      <c r="AJ14" s="21"/>
      <c r="AK14" s="22"/>
      <c r="AL14" s="20"/>
    </row>
    <row r="15" spans="2:38" ht="12.75" customHeight="1">
      <c r="B15" s="358">
        <f t="shared" si="1"/>
        <v>9</v>
      </c>
      <c r="C15" s="83" t="s">
        <v>128</v>
      </c>
      <c r="D15" s="312">
        <v>4726.8</v>
      </c>
      <c r="E15" s="384" t="e">
        <f>#REF!</f>
        <v>#REF!</v>
      </c>
      <c r="F15" s="377">
        <f>Эсбыт!F14</f>
        <v>71.15208000000001</v>
      </c>
      <c r="G15" s="384" t="e">
        <f>Февраль!#REF!</f>
        <v>#REF!</v>
      </c>
      <c r="H15" s="377">
        <f>Эсбыт!H14</f>
        <v>63.52272000000001</v>
      </c>
      <c r="I15" s="384" t="e">
        <f>#REF!</f>
        <v>#REF!</v>
      </c>
      <c r="J15" s="152">
        <f>Эсбыт!J14</f>
        <v>116.70852</v>
      </c>
      <c r="K15" s="93" t="e">
        <f>#REF!</f>
        <v>#REF!</v>
      </c>
      <c r="L15" s="213">
        <f>Эсбыт!L14</f>
        <v>95.269</v>
      </c>
      <c r="M15" s="397" t="e">
        <f>#REF!</f>
        <v>#REF!</v>
      </c>
      <c r="N15" s="211">
        <f>Эсбыт!N14</f>
        <v>22.549</v>
      </c>
      <c r="O15" s="93" t="e">
        <f>#REF!</f>
        <v>#REF!</v>
      </c>
      <c r="P15" s="232">
        <f>Эсбыт!P14</f>
        <v>11.15284</v>
      </c>
      <c r="Q15" s="397" t="e">
        <f>#REF!</f>
        <v>#REF!</v>
      </c>
      <c r="R15" s="211">
        <f>Эсбыт!R14</f>
        <v>7.96112</v>
      </c>
      <c r="S15" s="93" t="e">
        <f>#REF!</f>
        <v>#REF!</v>
      </c>
      <c r="T15" s="211">
        <f>Эсбыт!T14</f>
        <v>8.082600000000001</v>
      </c>
      <c r="U15" s="93"/>
      <c r="V15" s="100"/>
      <c r="W15" s="90"/>
      <c r="X15" s="106"/>
      <c r="Y15" s="86"/>
      <c r="Z15" s="62"/>
      <c r="AA15" s="86"/>
      <c r="AB15" s="62"/>
      <c r="AC15" s="41" t="e">
        <f t="shared" si="2"/>
        <v>#REF!</v>
      </c>
      <c r="AD15" s="40">
        <f t="shared" si="3"/>
        <v>396.39788</v>
      </c>
      <c r="AE15" s="41" t="e">
        <f t="shared" si="4"/>
        <v>#REF!</v>
      </c>
      <c r="AF15" s="20"/>
      <c r="AG15" s="20"/>
      <c r="AH15" s="20"/>
      <c r="AI15" s="20"/>
      <c r="AJ15" s="21"/>
      <c r="AK15" s="22"/>
      <c r="AL15" s="20"/>
    </row>
    <row r="16" spans="2:38" ht="12.75" customHeight="1">
      <c r="B16" s="358">
        <f t="shared" si="1"/>
        <v>10</v>
      </c>
      <c r="C16" s="83" t="s">
        <v>129</v>
      </c>
      <c r="D16" s="312">
        <v>4730.4</v>
      </c>
      <c r="E16" s="384" t="e">
        <f>#REF!</f>
        <v>#REF!</v>
      </c>
      <c r="F16" s="377">
        <f>Эсбыт!F15</f>
        <v>80.77456</v>
      </c>
      <c r="G16" s="384" t="e">
        <f>Февраль!#REF!</f>
        <v>#REF!</v>
      </c>
      <c r="H16" s="377">
        <f>Эсбыт!H15</f>
        <v>157.10188</v>
      </c>
      <c r="I16" s="384" t="e">
        <f>#REF!</f>
        <v>#REF!</v>
      </c>
      <c r="J16" s="152">
        <f>Эсбыт!J15</f>
        <v>102.76252</v>
      </c>
      <c r="K16" s="93" t="e">
        <f>#REF!</f>
        <v>#REF!</v>
      </c>
      <c r="L16" s="213">
        <f>Эсбыт!L15</f>
        <v>81.37236</v>
      </c>
      <c r="M16" s="397" t="e">
        <f>#REF!</f>
        <v>#REF!</v>
      </c>
      <c r="N16" s="211">
        <f>Эсбыт!N15</f>
        <v>11.398480000000003</v>
      </c>
      <c r="O16" s="93" t="e">
        <f>#REF!</f>
        <v>#REF!</v>
      </c>
      <c r="P16" s="232">
        <f>Эсбыт!P15</f>
        <v>3.4131600000000013</v>
      </c>
      <c r="Q16" s="397" t="e">
        <f>#REF!</f>
        <v>#REF!</v>
      </c>
      <c r="R16" s="211">
        <f>Эсбыт!R15</f>
        <v>2.05912</v>
      </c>
      <c r="S16" s="93" t="e">
        <f>#REF!</f>
        <v>#REF!</v>
      </c>
      <c r="T16" s="211">
        <f>Эсбыт!T15</f>
        <v>2.48724</v>
      </c>
      <c r="U16" s="93"/>
      <c r="V16" s="100"/>
      <c r="W16" s="90"/>
      <c r="X16" s="106"/>
      <c r="Y16" s="86"/>
      <c r="Z16" s="62"/>
      <c r="AA16" s="86"/>
      <c r="AB16" s="62"/>
      <c r="AC16" s="41" t="e">
        <f t="shared" si="2"/>
        <v>#REF!</v>
      </c>
      <c r="AD16" s="40">
        <f t="shared" si="3"/>
        <v>441.36932</v>
      </c>
      <c r="AE16" s="41" t="e">
        <f t="shared" si="4"/>
        <v>#REF!</v>
      </c>
      <c r="AF16" s="20"/>
      <c r="AG16" s="20"/>
      <c r="AH16" s="20"/>
      <c r="AI16" s="20"/>
      <c r="AJ16" s="21"/>
      <c r="AK16" s="22"/>
      <c r="AL16" s="20"/>
    </row>
    <row r="17" spans="2:38" ht="12.75" customHeight="1">
      <c r="B17" s="358">
        <f t="shared" si="1"/>
        <v>11</v>
      </c>
      <c r="C17" s="83" t="s">
        <v>130</v>
      </c>
      <c r="D17" s="312">
        <v>4727.7</v>
      </c>
      <c r="E17" s="384" t="e">
        <f>#REF!</f>
        <v>#REF!</v>
      </c>
      <c r="F17" s="377">
        <f>Эсбыт!F16</f>
        <v>70.35336000000001</v>
      </c>
      <c r="G17" s="384" t="e">
        <f>Февраль!#REF!</f>
        <v>#REF!</v>
      </c>
      <c r="H17" s="377">
        <f>Эсбыт!H16</f>
        <v>151.74152</v>
      </c>
      <c r="I17" s="384" t="e">
        <f>#REF!</f>
        <v>#REF!</v>
      </c>
      <c r="J17" s="152">
        <f>Эсбыт!J16</f>
        <v>101.31756</v>
      </c>
      <c r="K17" s="93" t="e">
        <f>#REF!</f>
        <v>#REF!</v>
      </c>
      <c r="L17" s="213">
        <f>Эсбыт!L16</f>
        <v>62.78464</v>
      </c>
      <c r="M17" s="397" t="e">
        <f>#REF!</f>
        <v>#REF!</v>
      </c>
      <c r="N17" s="211">
        <f>Эсбыт!N16</f>
        <v>24.8332</v>
      </c>
      <c r="O17" s="93" t="e">
        <f>#REF!</f>
        <v>#REF!</v>
      </c>
      <c r="P17" s="232">
        <f>Эсбыт!P16</f>
        <v>13.654280000000002</v>
      </c>
      <c r="Q17" s="397" t="e">
        <f>#REF!</f>
        <v>#REF!</v>
      </c>
      <c r="R17" s="211">
        <f>Эсбыт!R16</f>
        <v>6.66268</v>
      </c>
      <c r="S17" s="93" t="e">
        <f>#REF!</f>
        <v>#REF!</v>
      </c>
      <c r="T17" s="211">
        <f>Эсбыт!T16</f>
        <v>12.1456</v>
      </c>
      <c r="U17" s="93"/>
      <c r="V17" s="100"/>
      <c r="W17" s="90"/>
      <c r="X17" s="106"/>
      <c r="Y17" s="86"/>
      <c r="Z17" s="62"/>
      <c r="AA17" s="86"/>
      <c r="AB17" s="62"/>
      <c r="AC17" s="41" t="e">
        <f t="shared" si="2"/>
        <v>#REF!</v>
      </c>
      <c r="AD17" s="40">
        <f t="shared" si="3"/>
        <v>443.49284000000006</v>
      </c>
      <c r="AE17" s="41" t="e">
        <f t="shared" si="4"/>
        <v>#REF!</v>
      </c>
      <c r="AF17" s="20"/>
      <c r="AG17" s="20"/>
      <c r="AH17" s="20"/>
      <c r="AI17" s="20"/>
      <c r="AJ17" s="21"/>
      <c r="AK17" s="22"/>
      <c r="AL17" s="20"/>
    </row>
    <row r="18" spans="2:38" ht="12.75" customHeight="1">
      <c r="B18" s="358">
        <f t="shared" si="1"/>
        <v>12</v>
      </c>
      <c r="C18" s="83" t="s">
        <v>120</v>
      </c>
      <c r="D18" s="312">
        <v>10656</v>
      </c>
      <c r="E18" s="384" t="e">
        <f>#REF!</f>
        <v>#REF!</v>
      </c>
      <c r="F18" s="377">
        <f>Эсбыт!F17</f>
        <v>162.81668000000002</v>
      </c>
      <c r="G18" s="384" t="e">
        <f>Февраль!#REF!</f>
        <v>#REF!</v>
      </c>
      <c r="H18" s="377">
        <f>Эсбыт!H17</f>
        <v>335.59288000000004</v>
      </c>
      <c r="I18" s="384" t="e">
        <f>#REF!</f>
        <v>#REF!</v>
      </c>
      <c r="J18" s="152">
        <f>Эсбыт!J17</f>
        <v>250.1886</v>
      </c>
      <c r="K18" s="93" t="e">
        <f>#REF!</f>
        <v>#REF!</v>
      </c>
      <c r="L18" s="213">
        <f>Эсбыт!L17</f>
        <v>171.1596</v>
      </c>
      <c r="M18" s="397" t="e">
        <f>#REF!</f>
        <v>#REF!</v>
      </c>
      <c r="N18" s="211">
        <f>Эсбыт!N17</f>
        <v>20.879760000000005</v>
      </c>
      <c r="O18" s="93" t="e">
        <f>#REF!</f>
        <v>#REF!</v>
      </c>
      <c r="P18" s="232">
        <f>Эсбыт!P17</f>
        <v>10.412360000000007</v>
      </c>
      <c r="Q18" s="397" t="e">
        <f>#REF!</f>
        <v>#REF!</v>
      </c>
      <c r="R18" s="211">
        <f>Эсбыт!R17</f>
        <v>5.704680000000003</v>
      </c>
      <c r="S18" s="93" t="e">
        <f>#REF!</f>
        <v>#REF!</v>
      </c>
      <c r="T18" s="211">
        <f>Эсбыт!T17</f>
        <v>-6.204280000000001</v>
      </c>
      <c r="U18" s="93"/>
      <c r="V18" s="100"/>
      <c r="W18" s="90"/>
      <c r="X18" s="106"/>
      <c r="Y18" s="86"/>
      <c r="Z18" s="62"/>
      <c r="AA18" s="86"/>
      <c r="AB18" s="62"/>
      <c r="AC18" s="41" t="e">
        <f t="shared" si="2"/>
        <v>#REF!</v>
      </c>
      <c r="AD18" s="40">
        <f t="shared" si="3"/>
        <v>950.55028</v>
      </c>
      <c r="AE18" s="41" t="e">
        <f t="shared" si="4"/>
        <v>#REF!</v>
      </c>
      <c r="AF18" s="20"/>
      <c r="AG18" s="20"/>
      <c r="AH18" s="20"/>
      <c r="AI18" s="20"/>
      <c r="AJ18" s="21"/>
      <c r="AK18" s="22"/>
      <c r="AL18" s="20"/>
    </row>
    <row r="19" spans="2:38" ht="12.75" customHeight="1">
      <c r="B19" s="358">
        <f t="shared" si="1"/>
        <v>13</v>
      </c>
      <c r="C19" s="83" t="s">
        <v>61</v>
      </c>
      <c r="D19" s="312">
        <v>3545.7</v>
      </c>
      <c r="E19" s="384" t="e">
        <f>#REF!</f>
        <v>#REF!</v>
      </c>
      <c r="F19" s="377">
        <f>Эсбыт!F18</f>
        <v>49.95252</v>
      </c>
      <c r="G19" s="384" t="e">
        <f>Февраль!#REF!</f>
        <v>#REF!</v>
      </c>
      <c r="H19" s="377">
        <f>Эсбыт!H18</f>
        <v>105.63451999999998</v>
      </c>
      <c r="I19" s="384" t="e">
        <f>#REF!</f>
        <v>#REF!</v>
      </c>
      <c r="J19" s="152">
        <f>Эсбыт!J18</f>
        <v>75.90944</v>
      </c>
      <c r="K19" s="93" t="e">
        <f>#REF!</f>
        <v>#REF!</v>
      </c>
      <c r="L19" s="213">
        <f>Эсбыт!L18</f>
        <v>56.03608000000001</v>
      </c>
      <c r="M19" s="397" t="e">
        <f>#REF!</f>
        <v>#REF!</v>
      </c>
      <c r="N19" s="211">
        <f>Эсбыт!N18</f>
        <v>6.614600000000003</v>
      </c>
      <c r="O19" s="93" t="e">
        <f>#REF!</f>
        <v>#REF!</v>
      </c>
      <c r="P19" s="232">
        <f>Эсбыт!P18</f>
        <v>4.939080000000004</v>
      </c>
      <c r="Q19" s="397" t="e">
        <f>#REF!</f>
        <v>#REF!</v>
      </c>
      <c r="R19" s="211">
        <f>Эсбыт!R18</f>
        <v>1.5568400000000011</v>
      </c>
      <c r="S19" s="93" t="e">
        <f>#REF!</f>
        <v>#REF!</v>
      </c>
      <c r="T19" s="211">
        <f>Эсбыт!T18</f>
        <v>-2.1315600000000003</v>
      </c>
      <c r="U19" s="86"/>
      <c r="V19" s="99"/>
      <c r="W19" s="88"/>
      <c r="X19" s="106"/>
      <c r="Y19" s="86"/>
      <c r="Z19" s="61"/>
      <c r="AA19" s="86"/>
      <c r="AB19" s="61"/>
      <c r="AC19" s="41" t="e">
        <f t="shared" si="2"/>
        <v>#REF!</v>
      </c>
      <c r="AD19" s="40">
        <f t="shared" si="3"/>
        <v>298.51152</v>
      </c>
      <c r="AE19" s="41" t="e">
        <f t="shared" si="4"/>
        <v>#REF!</v>
      </c>
      <c r="AF19" s="20"/>
      <c r="AG19" s="20"/>
      <c r="AH19" s="20"/>
      <c r="AI19" s="20"/>
      <c r="AJ19" s="20"/>
      <c r="AK19" s="22"/>
      <c r="AL19" s="23"/>
    </row>
    <row r="20" spans="2:38" ht="12.75" customHeight="1">
      <c r="B20" s="358">
        <f t="shared" si="1"/>
        <v>14</v>
      </c>
      <c r="C20" s="83" t="s">
        <v>62</v>
      </c>
      <c r="D20" s="312">
        <v>3547.1</v>
      </c>
      <c r="E20" s="384" t="e">
        <f>#REF!</f>
        <v>#REF!</v>
      </c>
      <c r="F20" s="377">
        <f>Эсбыт!F19</f>
        <v>57.65560000000001</v>
      </c>
      <c r="G20" s="384" t="e">
        <f>Февраль!#REF!</f>
        <v>#REF!</v>
      </c>
      <c r="H20" s="377">
        <f>Эсбыт!H19</f>
        <v>115.60412000000001</v>
      </c>
      <c r="I20" s="384" t="e">
        <f>#REF!</f>
        <v>#REF!</v>
      </c>
      <c r="J20" s="152">
        <f>Эсбыт!J19</f>
        <v>80.09628</v>
      </c>
      <c r="K20" s="93" t="e">
        <f>#REF!</f>
        <v>#REF!</v>
      </c>
      <c r="L20" s="213">
        <f>Эсбыт!L19</f>
        <v>55.02724</v>
      </c>
      <c r="M20" s="397" t="e">
        <f>#REF!</f>
        <v>#REF!</v>
      </c>
      <c r="N20" s="211">
        <f>Эсбыт!N19</f>
        <v>5.03988</v>
      </c>
      <c r="O20" s="93" t="e">
        <f>#REF!</f>
        <v>#REF!</v>
      </c>
      <c r="P20" s="232">
        <f>Эсбыт!P19</f>
        <v>0.8512400000000007</v>
      </c>
      <c r="Q20" s="397" t="e">
        <f>#REF!</f>
        <v>#REF!</v>
      </c>
      <c r="R20" s="211">
        <f>Эсбыт!R19</f>
        <v>0.11912000000000056</v>
      </c>
      <c r="S20" s="93" t="e">
        <f>#REF!</f>
        <v>#REF!</v>
      </c>
      <c r="T20" s="211">
        <f>Эсбыт!T19</f>
        <v>-1.8489199999999997</v>
      </c>
      <c r="U20" s="86"/>
      <c r="V20" s="99"/>
      <c r="W20" s="88"/>
      <c r="X20" s="106"/>
      <c r="Y20" s="86"/>
      <c r="Z20" s="61"/>
      <c r="AA20" s="86"/>
      <c r="AB20" s="61"/>
      <c r="AC20" s="41" t="e">
        <f t="shared" si="2"/>
        <v>#REF!</v>
      </c>
      <c r="AD20" s="40">
        <f t="shared" si="3"/>
        <v>312.54456</v>
      </c>
      <c r="AE20" s="41" t="e">
        <f t="shared" si="4"/>
        <v>#REF!</v>
      </c>
      <c r="AF20" s="20"/>
      <c r="AG20" s="20"/>
      <c r="AH20" s="20"/>
      <c r="AI20" s="20"/>
      <c r="AJ20" s="20"/>
      <c r="AK20" s="22"/>
      <c r="AL20" s="23"/>
    </row>
    <row r="21" spans="2:38" ht="12.75" customHeight="1">
      <c r="B21" s="358">
        <f t="shared" si="1"/>
        <v>15</v>
      </c>
      <c r="C21" s="363" t="s">
        <v>67</v>
      </c>
      <c r="D21" s="312">
        <v>3524.6</v>
      </c>
      <c r="E21" s="385" t="e">
        <f>#REF!</f>
        <v>#REF!</v>
      </c>
      <c r="F21" s="378">
        <f>Эсбыт!F20</f>
        <v>165.30864</v>
      </c>
      <c r="G21" s="385" t="e">
        <f>Февраль!#REF!</f>
        <v>#REF!</v>
      </c>
      <c r="H21" s="378">
        <f>Эсбыт!H20</f>
        <v>101.20472</v>
      </c>
      <c r="I21" s="385" t="e">
        <f>#REF!</f>
        <v>#REF!</v>
      </c>
      <c r="J21" s="282">
        <f>Эсбыт!J20</f>
        <v>106.12748</v>
      </c>
      <c r="K21" s="293" t="e">
        <f>#REF!</f>
        <v>#REF!</v>
      </c>
      <c r="L21" s="283">
        <f>Эсбыт!L20</f>
        <v>98.3098</v>
      </c>
      <c r="M21" s="293" t="e">
        <f>#REF!</f>
        <v>#REF!</v>
      </c>
      <c r="N21" s="285">
        <f>Эсбыт!N20</f>
        <v>-0.5935999999999986</v>
      </c>
      <c r="O21" s="293" t="e">
        <f>#REF!</f>
        <v>#REF!</v>
      </c>
      <c r="P21" s="284">
        <f>Эсбыт!P20</f>
        <v>3.2386800000000004</v>
      </c>
      <c r="Q21" s="293" t="e">
        <f>#REF!</f>
        <v>#REF!</v>
      </c>
      <c r="R21" s="285">
        <f>Эсбыт!R20</f>
        <v>-2.420160000000001</v>
      </c>
      <c r="S21" s="293" t="e">
        <f>#REF!</f>
        <v>#REF!</v>
      </c>
      <c r="T21" s="285">
        <f>Эсбыт!T20</f>
        <v>-3.7171199999999995</v>
      </c>
      <c r="U21" s="287"/>
      <c r="V21" s="288"/>
      <c r="W21" s="289"/>
      <c r="X21" s="286"/>
      <c r="Y21" s="287"/>
      <c r="Z21" s="290"/>
      <c r="AA21" s="287"/>
      <c r="AB21" s="290"/>
      <c r="AC21" s="291" t="e">
        <f t="shared" si="2"/>
        <v>#REF!</v>
      </c>
      <c r="AD21" s="292">
        <f t="shared" si="3"/>
        <v>467.45844</v>
      </c>
      <c r="AE21" s="291" t="e">
        <f t="shared" si="4"/>
        <v>#REF!</v>
      </c>
      <c r="AF21" s="20"/>
      <c r="AG21" s="20"/>
      <c r="AH21" s="20"/>
      <c r="AI21" s="20"/>
      <c r="AJ21" s="20"/>
      <c r="AK21" s="22"/>
      <c r="AL21" s="23"/>
    </row>
    <row r="22" spans="2:38" ht="12.75" customHeight="1">
      <c r="B22" s="358">
        <f t="shared" si="1"/>
        <v>16</v>
      </c>
      <c r="C22" s="83" t="s">
        <v>126</v>
      </c>
      <c r="D22" s="312">
        <v>16614.4</v>
      </c>
      <c r="E22" s="384" t="e">
        <f>#REF!</f>
        <v>#REF!</v>
      </c>
      <c r="F22" s="377">
        <f>Эсбыт!F21</f>
        <v>246.32272</v>
      </c>
      <c r="G22" s="384" t="e">
        <f>Февраль!#REF!</f>
        <v>#REF!</v>
      </c>
      <c r="H22" s="377">
        <f>Эсбыт!H21</f>
        <v>478.101</v>
      </c>
      <c r="I22" s="384" t="e">
        <f>#REF!</f>
        <v>#REF!</v>
      </c>
      <c r="J22" s="152">
        <f>Эсбыт!J21</f>
        <v>345.31248</v>
      </c>
      <c r="K22" s="93" t="e">
        <f>#REF!</f>
        <v>#REF!</v>
      </c>
      <c r="L22" s="213">
        <f>Эсбыт!L21</f>
        <v>244.89280000000002</v>
      </c>
      <c r="M22" s="397" t="e">
        <f>#REF!</f>
        <v>#REF!</v>
      </c>
      <c r="N22" s="211">
        <f>Эсбыт!N21</f>
        <v>49.806039999999996</v>
      </c>
      <c r="O22" s="93" t="e">
        <f>#REF!</f>
        <v>#REF!</v>
      </c>
      <c r="P22" s="232">
        <f>Эсбыт!P21</f>
        <v>36.39323999999999</v>
      </c>
      <c r="Q22" s="397" t="e">
        <f>#REF!</f>
        <v>#REF!</v>
      </c>
      <c r="R22" s="211">
        <f>Эсбыт!R21</f>
        <v>11.599640000000008</v>
      </c>
      <c r="S22" s="93" t="e">
        <f>#REF!</f>
        <v>#REF!</v>
      </c>
      <c r="T22" s="211">
        <f>Эсбыт!T21</f>
        <v>25.63644</v>
      </c>
      <c r="U22" s="86"/>
      <c r="V22" s="99"/>
      <c r="W22" s="90"/>
      <c r="X22" s="105"/>
      <c r="Y22" s="86"/>
      <c r="Z22" s="61"/>
      <c r="AA22" s="86"/>
      <c r="AB22" s="61"/>
      <c r="AC22" s="41" t="e">
        <f t="shared" si="2"/>
        <v>#REF!</v>
      </c>
      <c r="AD22" s="40">
        <f t="shared" si="3"/>
        <v>1438.0643600000003</v>
      </c>
      <c r="AE22" s="41" t="e">
        <f t="shared" si="4"/>
        <v>#REF!</v>
      </c>
      <c r="AF22" s="20"/>
      <c r="AG22" s="20"/>
      <c r="AH22" s="20"/>
      <c r="AI22" s="20"/>
      <c r="AJ22" s="20"/>
      <c r="AK22" s="22"/>
      <c r="AL22" s="23"/>
    </row>
    <row r="23" spans="2:38" ht="12.75" customHeight="1">
      <c r="B23" s="358">
        <f t="shared" si="1"/>
        <v>17</v>
      </c>
      <c r="C23" s="83" t="s">
        <v>68</v>
      </c>
      <c r="D23" s="312">
        <v>14948.6</v>
      </c>
      <c r="E23" s="384" t="e">
        <f>#REF!</f>
        <v>#REF!</v>
      </c>
      <c r="F23" s="377">
        <f>Эсбыт!F22</f>
        <v>206.91240000000002</v>
      </c>
      <c r="G23" s="384" t="e">
        <f>Февраль!#REF!</f>
        <v>#REF!</v>
      </c>
      <c r="H23" s="377">
        <f>Эсбыт!H22</f>
        <v>442.56252000000006</v>
      </c>
      <c r="I23" s="384" t="e">
        <f>#REF!</f>
        <v>#REF!</v>
      </c>
      <c r="J23" s="152">
        <f>Эсбыт!J22</f>
        <v>295.69596</v>
      </c>
      <c r="K23" s="93" t="e">
        <f>#REF!</f>
        <v>#REF!</v>
      </c>
      <c r="L23" s="213">
        <f>Эсбыт!L22</f>
        <v>192.01324000000002</v>
      </c>
      <c r="M23" s="397" t="e">
        <f>#REF!</f>
        <v>#REF!</v>
      </c>
      <c r="N23" s="211">
        <f>Эсбыт!N22</f>
        <v>21.140079999999998</v>
      </c>
      <c r="O23" s="93" t="e">
        <f>#REF!</f>
        <v>#REF!</v>
      </c>
      <c r="P23" s="232">
        <f>Эсбыт!P22</f>
        <v>9.68356</v>
      </c>
      <c r="Q23" s="397" t="e">
        <f>#REF!</f>
        <v>#REF!</v>
      </c>
      <c r="R23" s="211">
        <f>Эсбыт!R22</f>
        <v>3.9176399999999987</v>
      </c>
      <c r="S23" s="93" t="e">
        <f>#REF!</f>
        <v>#REF!</v>
      </c>
      <c r="T23" s="211">
        <f>Эсбыт!T22</f>
        <v>1.0567600000000041</v>
      </c>
      <c r="U23" s="93"/>
      <c r="V23" s="102"/>
      <c r="W23" s="90"/>
      <c r="X23" s="105"/>
      <c r="Y23" s="86"/>
      <c r="Z23" s="61"/>
      <c r="AA23" s="86"/>
      <c r="AB23" s="61"/>
      <c r="AC23" s="41" t="e">
        <f t="shared" si="2"/>
        <v>#REF!</v>
      </c>
      <c r="AD23" s="40">
        <f t="shared" si="3"/>
        <v>1172.98216</v>
      </c>
      <c r="AE23" s="41" t="e">
        <f t="shared" si="4"/>
        <v>#REF!</v>
      </c>
      <c r="AF23" s="20"/>
      <c r="AG23" s="20"/>
      <c r="AH23" s="20"/>
      <c r="AI23" s="20"/>
      <c r="AJ23" s="20"/>
      <c r="AK23" s="22"/>
      <c r="AL23" s="20"/>
    </row>
    <row r="24" spans="2:38" ht="12.75" customHeight="1">
      <c r="B24" s="358">
        <f t="shared" si="1"/>
        <v>18</v>
      </c>
      <c r="C24" s="113" t="s">
        <v>148</v>
      </c>
      <c r="D24" s="310">
        <v>8832.7</v>
      </c>
      <c r="E24" s="384"/>
      <c r="F24" s="377"/>
      <c r="G24" s="384"/>
      <c r="H24" s="377"/>
      <c r="I24" s="384" t="e">
        <f>#REF!</f>
        <v>#REF!</v>
      </c>
      <c r="J24" s="152"/>
      <c r="K24" s="93" t="e">
        <f>#REF!</f>
        <v>#REF!</v>
      </c>
      <c r="L24" s="213">
        <f>Эсбыт!L23</f>
        <v>174.10819999999998</v>
      </c>
      <c r="M24" s="397" t="e">
        <f>#REF!</f>
        <v>#REF!</v>
      </c>
      <c r="N24" s="211">
        <f>Эсбыт!N23</f>
        <v>18.32676</v>
      </c>
      <c r="O24" s="93" t="e">
        <f>#REF!</f>
        <v>#REF!</v>
      </c>
      <c r="P24" s="232">
        <f>Эсбыт!P23</f>
        <v>12.880080000000003</v>
      </c>
      <c r="Q24" s="397" t="e">
        <f>#REF!</f>
        <v>#REF!</v>
      </c>
      <c r="R24" s="211">
        <f>Эсбыт!R23</f>
        <v>24.996920000000003</v>
      </c>
      <c r="S24" s="93" t="e">
        <f>#REF!</f>
        <v>#REF!</v>
      </c>
      <c r="T24" s="211">
        <f>Эсбыт!T23</f>
        <v>19.580440000000003</v>
      </c>
      <c r="U24" s="93"/>
      <c r="V24" s="102"/>
      <c r="W24" s="90"/>
      <c r="X24" s="105"/>
      <c r="Y24" s="86"/>
      <c r="Z24" s="61"/>
      <c r="AA24" s="86"/>
      <c r="AB24" s="61"/>
      <c r="AC24" s="41" t="e">
        <f t="shared" si="2"/>
        <v>#REF!</v>
      </c>
      <c r="AD24" s="40">
        <f t="shared" si="3"/>
        <v>249.89239999999998</v>
      </c>
      <c r="AE24" s="41" t="e">
        <f t="shared" si="4"/>
        <v>#REF!</v>
      </c>
      <c r="AF24" s="20"/>
      <c r="AG24" s="20"/>
      <c r="AH24" s="20"/>
      <c r="AI24" s="20"/>
      <c r="AJ24" s="20"/>
      <c r="AK24" s="22"/>
      <c r="AL24" s="20"/>
    </row>
    <row r="25" spans="2:38" ht="12.75" customHeight="1">
      <c r="B25" s="358">
        <f t="shared" si="1"/>
        <v>19</v>
      </c>
      <c r="C25" s="83" t="s">
        <v>59</v>
      </c>
      <c r="D25" s="312">
        <v>19523.1</v>
      </c>
      <c r="E25" s="384" t="e">
        <f>#REF!</f>
        <v>#REF!</v>
      </c>
      <c r="F25" s="377">
        <f>Эсбыт!F24</f>
        <v>234.98612000000003</v>
      </c>
      <c r="G25" s="384" t="e">
        <f>Февраль!#REF!</f>
        <v>#REF!</v>
      </c>
      <c r="H25" s="377">
        <f>Эсбыт!H24</f>
        <v>491.36596000000003</v>
      </c>
      <c r="I25" s="384" t="e">
        <f>#REF!</f>
        <v>#REF!</v>
      </c>
      <c r="J25" s="152">
        <f>Эсбыт!J24</f>
        <v>351.03952000000004</v>
      </c>
      <c r="K25" s="93" t="e">
        <f>#REF!</f>
        <v>#REF!</v>
      </c>
      <c r="L25" s="213">
        <f>Эсбыт!L24</f>
        <v>246.46519999999995</v>
      </c>
      <c r="M25" s="397" t="e">
        <f>#REF!</f>
        <v>#REF!</v>
      </c>
      <c r="N25" s="211">
        <f>Эсбыт!N24</f>
        <v>25.5912</v>
      </c>
      <c r="O25" s="93" t="e">
        <f>#REF!</f>
        <v>#REF!</v>
      </c>
      <c r="P25" s="232">
        <f>Эсбыт!P24</f>
        <v>10.25248000000002</v>
      </c>
      <c r="Q25" s="397" t="e">
        <f>#REF!</f>
        <v>#REF!</v>
      </c>
      <c r="R25" s="211">
        <f>Эсбыт!R24</f>
        <v>6.451919999999994</v>
      </c>
      <c r="S25" s="93" t="e">
        <f>#REF!</f>
        <v>#REF!</v>
      </c>
      <c r="T25" s="211">
        <f>Эсбыт!T24</f>
        <v>8.623520000000006</v>
      </c>
      <c r="U25" s="93"/>
      <c r="V25" s="102"/>
      <c r="W25" s="90"/>
      <c r="X25" s="105"/>
      <c r="Y25" s="86"/>
      <c r="Z25" s="61"/>
      <c r="AA25" s="86"/>
      <c r="AB25" s="61"/>
      <c r="AC25" s="41" t="e">
        <f t="shared" si="2"/>
        <v>#REF!</v>
      </c>
      <c r="AD25" s="40">
        <f t="shared" si="3"/>
        <v>1374.77592</v>
      </c>
      <c r="AE25" s="41" t="e">
        <f t="shared" si="4"/>
        <v>#REF!</v>
      </c>
      <c r="AF25" s="20"/>
      <c r="AG25" s="20"/>
      <c r="AH25" s="20"/>
      <c r="AI25" s="20"/>
      <c r="AJ25" s="20"/>
      <c r="AK25" s="22"/>
      <c r="AL25" s="20"/>
    </row>
    <row r="26" spans="2:42" s="30" customFormat="1" ht="12.75" customHeight="1">
      <c r="B26" s="358">
        <f t="shared" si="1"/>
        <v>20</v>
      </c>
      <c r="C26" s="364" t="s">
        <v>66</v>
      </c>
      <c r="D26" s="312">
        <v>18481.1</v>
      </c>
      <c r="E26" s="386" t="e">
        <f>#REF!</f>
        <v>#REF!</v>
      </c>
      <c r="F26" s="379">
        <f>Эсбыт!F25</f>
        <v>258.50768</v>
      </c>
      <c r="G26" s="386" t="e">
        <f>Февраль!#REF!</f>
        <v>#REF!</v>
      </c>
      <c r="H26" s="379">
        <f>Эсбыт!H25</f>
        <v>511.1955999999999</v>
      </c>
      <c r="I26" s="386" t="e">
        <f>#REF!</f>
        <v>#REF!</v>
      </c>
      <c r="J26" s="214">
        <f>Эсбыт!J25</f>
        <v>343.08096</v>
      </c>
      <c r="K26" s="94" t="e">
        <f>#REF!</f>
        <v>#REF!</v>
      </c>
      <c r="L26" s="272">
        <f>Эсбыт!L25</f>
        <v>249.52668000000003</v>
      </c>
      <c r="M26" s="94" t="e">
        <f>#REF!</f>
        <v>#REF!</v>
      </c>
      <c r="N26" s="305">
        <f>Эсбыт!N25</f>
        <v>26.805839999999993</v>
      </c>
      <c r="O26" s="94" t="e">
        <f>#REF!</f>
        <v>#REF!</v>
      </c>
      <c r="P26" s="273">
        <f>Эсбыт!P25</f>
        <v>15.025040000000006</v>
      </c>
      <c r="Q26" s="94" t="e">
        <f>#REF!</f>
        <v>#REF!</v>
      </c>
      <c r="R26" s="305">
        <f>Эсбыт!R25</f>
        <v>8.531519999999997</v>
      </c>
      <c r="S26" s="94" t="e">
        <f>#REF!</f>
        <v>#REF!</v>
      </c>
      <c r="T26" s="305">
        <f>Эсбыт!T25</f>
        <v>3.9172799999999968</v>
      </c>
      <c r="U26" s="94"/>
      <c r="V26" s="102"/>
      <c r="W26" s="90"/>
      <c r="X26" s="107"/>
      <c r="Y26" s="96"/>
      <c r="Z26" s="63"/>
      <c r="AA26" s="96"/>
      <c r="AB26" s="63"/>
      <c r="AC26" s="274" t="e">
        <f t="shared" si="2"/>
        <v>#REF!</v>
      </c>
      <c r="AD26" s="275">
        <f t="shared" si="3"/>
        <v>1416.5905999999998</v>
      </c>
      <c r="AE26" s="274" t="e">
        <f t="shared" si="4"/>
        <v>#REF!</v>
      </c>
      <c r="AF26" s="28"/>
      <c r="AG26" s="28"/>
      <c r="AH26" s="28"/>
      <c r="AI26" s="28"/>
      <c r="AJ26" s="28"/>
      <c r="AK26" s="29"/>
      <c r="AL26" s="28"/>
      <c r="AP26" s="31"/>
    </row>
    <row r="27" spans="2:42" s="30" customFormat="1" ht="12.75" customHeight="1">
      <c r="B27" s="358">
        <f t="shared" si="1"/>
        <v>21</v>
      </c>
      <c r="C27" s="83" t="s">
        <v>57</v>
      </c>
      <c r="D27" s="312">
        <v>18464.4</v>
      </c>
      <c r="E27" s="384" t="e">
        <f>#REF!</f>
        <v>#REF!</v>
      </c>
      <c r="F27" s="377">
        <f>Эсбыт!F26</f>
        <v>237.05588000000003</v>
      </c>
      <c r="G27" s="384" t="e">
        <f>Февраль!#REF!</f>
        <v>#REF!</v>
      </c>
      <c r="H27" s="377">
        <f>Эсбыт!H26</f>
        <v>495.84208</v>
      </c>
      <c r="I27" s="384" t="e">
        <f>#REF!</f>
        <v>#REF!</v>
      </c>
      <c r="J27" s="152">
        <f>Эсбыт!J26</f>
        <v>363.64224</v>
      </c>
      <c r="K27" s="93" t="e">
        <f>#REF!</f>
        <v>#REF!</v>
      </c>
      <c r="L27" s="213">
        <f>Эсбыт!L26</f>
        <v>296.11940000000004</v>
      </c>
      <c r="M27" s="397" t="e">
        <f>#REF!</f>
        <v>#REF!</v>
      </c>
      <c r="N27" s="211">
        <f>Эсбыт!N26</f>
        <v>35.63996</v>
      </c>
      <c r="O27" s="93" t="e">
        <f>#REF!</f>
        <v>#REF!</v>
      </c>
      <c r="P27" s="232">
        <f>Эсбыт!P26</f>
        <v>4.649520000000024</v>
      </c>
      <c r="Q27" s="397" t="e">
        <f>#REF!</f>
        <v>#REF!</v>
      </c>
      <c r="R27" s="211">
        <f>Эсбыт!R26</f>
        <v>4.652079999999998</v>
      </c>
      <c r="S27" s="93" t="e">
        <f>#REF!</f>
        <v>#REF!</v>
      </c>
      <c r="T27" s="211">
        <f>Эсбыт!T26</f>
        <v>-6.228520000000003</v>
      </c>
      <c r="U27" s="93"/>
      <c r="V27" s="102"/>
      <c r="W27" s="90"/>
      <c r="X27" s="107"/>
      <c r="Y27" s="96"/>
      <c r="Z27" s="63"/>
      <c r="AA27" s="96"/>
      <c r="AB27" s="63"/>
      <c r="AC27" s="41" t="e">
        <f t="shared" si="2"/>
        <v>#REF!</v>
      </c>
      <c r="AD27" s="40">
        <f t="shared" si="3"/>
        <v>1431.3726400000003</v>
      </c>
      <c r="AE27" s="41" t="e">
        <f t="shared" si="4"/>
        <v>#REF!</v>
      </c>
      <c r="AF27" s="28"/>
      <c r="AG27" s="28"/>
      <c r="AH27" s="28"/>
      <c r="AI27" s="28"/>
      <c r="AJ27" s="28"/>
      <c r="AK27" s="29"/>
      <c r="AL27" s="28"/>
      <c r="AP27" s="31"/>
    </row>
    <row r="28" spans="2:38" ht="12.75" customHeight="1">
      <c r="B28" s="358">
        <f t="shared" si="1"/>
        <v>22</v>
      </c>
      <c r="C28" s="83" t="s">
        <v>54</v>
      </c>
      <c r="D28" s="312">
        <v>30266.3</v>
      </c>
      <c r="E28" s="384" t="e">
        <f>#REF!</f>
        <v>#REF!</v>
      </c>
      <c r="F28" s="377">
        <f>Эсбыт!F27</f>
        <v>374.72588</v>
      </c>
      <c r="G28" s="384" t="e">
        <f>Февраль!#REF!</f>
        <v>#REF!</v>
      </c>
      <c r="H28" s="377">
        <f>Эсбыт!H27</f>
        <v>746.42308</v>
      </c>
      <c r="I28" s="384" t="e">
        <f>#REF!</f>
        <v>#REF!</v>
      </c>
      <c r="J28" s="152">
        <f>Эсбыт!J27</f>
        <v>548.35604</v>
      </c>
      <c r="K28" s="93" t="e">
        <f>#REF!</f>
        <v>#REF!</v>
      </c>
      <c r="L28" s="213">
        <f>Эсбыт!L27</f>
        <v>408.03744000000006</v>
      </c>
      <c r="M28" s="397" t="e">
        <f>#REF!</f>
        <v>#REF!</v>
      </c>
      <c r="N28" s="211">
        <f>Эсбыт!N27</f>
        <v>60.99496000000002</v>
      </c>
      <c r="O28" s="93" t="e">
        <f>#REF!</f>
        <v>#REF!</v>
      </c>
      <c r="P28" s="232">
        <f>Эсбыт!P27</f>
        <v>22.853800000000007</v>
      </c>
      <c r="Q28" s="397" t="e">
        <f>#REF!</f>
        <v>#REF!</v>
      </c>
      <c r="R28" s="211">
        <f>Эсбыт!R27</f>
        <v>22.204720000000002</v>
      </c>
      <c r="S28" s="93" t="e">
        <f>#REF!</f>
        <v>#REF!</v>
      </c>
      <c r="T28" s="211">
        <f>Эсбыт!T27</f>
        <v>9.769359999999992</v>
      </c>
      <c r="U28" s="93"/>
      <c r="V28" s="99"/>
      <c r="W28" s="90"/>
      <c r="X28" s="105"/>
      <c r="Y28" s="86"/>
      <c r="Z28" s="63"/>
      <c r="AA28" s="86"/>
      <c r="AB28" s="63"/>
      <c r="AC28" s="41" t="e">
        <f t="shared" si="2"/>
        <v>#REF!</v>
      </c>
      <c r="AD28" s="40">
        <f t="shared" si="3"/>
        <v>2193.36528</v>
      </c>
      <c r="AE28" s="41" t="e">
        <f t="shared" si="4"/>
        <v>#REF!</v>
      </c>
      <c r="AF28" s="20"/>
      <c r="AG28" s="20"/>
      <c r="AH28" s="20"/>
      <c r="AI28" s="20"/>
      <c r="AJ28" s="20"/>
      <c r="AK28" s="22"/>
      <c r="AL28" s="23"/>
    </row>
    <row r="29" spans="2:41" ht="12.75" customHeight="1">
      <c r="B29" s="358">
        <f t="shared" si="1"/>
        <v>23</v>
      </c>
      <c r="C29" s="82" t="s">
        <v>60</v>
      </c>
      <c r="D29" s="312">
        <v>24146</v>
      </c>
      <c r="E29" s="384" t="e">
        <f>#REF!</f>
        <v>#REF!</v>
      </c>
      <c r="F29" s="377">
        <f>Эсбыт!F28</f>
        <v>298.56327999999996</v>
      </c>
      <c r="G29" s="384" t="e">
        <f>Февраль!#REF!</f>
        <v>#REF!</v>
      </c>
      <c r="H29" s="377">
        <f>Эсбыт!H28</f>
        <v>591.18488</v>
      </c>
      <c r="I29" s="384" t="e">
        <f>#REF!</f>
        <v>#REF!</v>
      </c>
      <c r="J29" s="152">
        <f>Эсбыт!J28</f>
        <v>412.77867999999995</v>
      </c>
      <c r="K29" s="93" t="e">
        <f>#REF!</f>
        <v>#REF!</v>
      </c>
      <c r="L29" s="213">
        <f>Эсбыт!L28</f>
        <v>273.68196</v>
      </c>
      <c r="M29" s="397" t="e">
        <f>#REF!</f>
        <v>#REF!</v>
      </c>
      <c r="N29" s="211">
        <f>Эсбыт!N28</f>
        <v>23.068760000000008</v>
      </c>
      <c r="O29" s="93" t="e">
        <f>#REF!</f>
        <v>#REF!</v>
      </c>
      <c r="P29" s="232">
        <f>Эсбыт!P28</f>
        <v>6.824040000000011</v>
      </c>
      <c r="Q29" s="397" t="e">
        <f>#REF!</f>
        <v>#REF!</v>
      </c>
      <c r="R29" s="211">
        <f>Эсбыт!R28</f>
        <v>1.3112800000000016</v>
      </c>
      <c r="S29" s="93" t="e">
        <f>#REF!</f>
        <v>#REF!</v>
      </c>
      <c r="T29" s="211">
        <f>Эсбыт!T28</f>
        <v>-9.991079999999998</v>
      </c>
      <c r="U29" s="93"/>
      <c r="V29" s="99"/>
      <c r="W29" s="90"/>
      <c r="X29" s="105"/>
      <c r="Y29" s="86"/>
      <c r="Z29" s="63"/>
      <c r="AA29" s="86"/>
      <c r="AB29" s="63"/>
      <c r="AC29" s="41" t="e">
        <f t="shared" si="2"/>
        <v>#REF!</v>
      </c>
      <c r="AD29" s="40">
        <f t="shared" si="3"/>
        <v>1597.4218</v>
      </c>
      <c r="AE29" s="41" t="e">
        <f t="shared" si="4"/>
        <v>#REF!</v>
      </c>
      <c r="AF29" s="20"/>
      <c r="AG29" s="20"/>
      <c r="AH29" s="20"/>
      <c r="AI29" s="20"/>
      <c r="AJ29" s="20"/>
      <c r="AK29" s="22"/>
      <c r="AL29" s="20"/>
      <c r="AO29" s="1"/>
    </row>
    <row r="30" spans="2:38" ht="12.75" customHeight="1">
      <c r="B30" s="358">
        <f t="shared" si="1"/>
        <v>24</v>
      </c>
      <c r="C30" s="364" t="s">
        <v>63</v>
      </c>
      <c r="D30" s="312">
        <v>20258.6</v>
      </c>
      <c r="E30" s="386" t="e">
        <f>#REF!</f>
        <v>#REF!</v>
      </c>
      <c r="F30" s="379">
        <f>Эсбыт!F29</f>
        <v>242.66449999999998</v>
      </c>
      <c r="G30" s="386" t="e">
        <f>Февраль!#REF!</f>
        <v>#REF!</v>
      </c>
      <c r="H30" s="379">
        <f>Эсбыт!H29</f>
        <v>541.4191000000001</v>
      </c>
      <c r="I30" s="386" t="e">
        <f>#REF!</f>
        <v>#REF!</v>
      </c>
      <c r="J30" s="214">
        <f>Эсбыт!J29</f>
        <v>383.4348</v>
      </c>
      <c r="K30" s="94" t="e">
        <f>#REF!</f>
        <v>#REF!</v>
      </c>
      <c r="L30" s="272">
        <f>Эсбыт!L29</f>
        <v>254.68900000000002</v>
      </c>
      <c r="M30" s="94" t="e">
        <f>#REF!</f>
        <v>#REF!</v>
      </c>
      <c r="N30" s="305">
        <f>Эсбыт!N29</f>
        <v>27.384199999999993</v>
      </c>
      <c r="O30" s="94" t="e">
        <f>#REF!</f>
        <v>#REF!</v>
      </c>
      <c r="P30" s="273">
        <f>Эсбыт!P29</f>
        <v>10.74286</v>
      </c>
      <c r="Q30" s="397" t="e">
        <f>#REF!</f>
        <v>#REF!</v>
      </c>
      <c r="R30" s="211">
        <f>Эсбыт!R29</f>
        <v>11.795719999999998</v>
      </c>
      <c r="S30" s="93" t="e">
        <f>#REF!</f>
        <v>#REF!</v>
      </c>
      <c r="T30" s="211">
        <f>Эсбыт!T29</f>
        <v>-3.2478599999999895</v>
      </c>
      <c r="U30" s="94"/>
      <c r="V30" s="102"/>
      <c r="W30" s="90"/>
      <c r="X30" s="107"/>
      <c r="Y30" s="96"/>
      <c r="Z30" s="63"/>
      <c r="AA30" s="96"/>
      <c r="AB30" s="63"/>
      <c r="AC30" s="274" t="e">
        <f t="shared" si="2"/>
        <v>#REF!</v>
      </c>
      <c r="AD30" s="275">
        <f t="shared" si="3"/>
        <v>1468.8823200000002</v>
      </c>
      <c r="AE30" s="274" t="e">
        <f t="shared" si="4"/>
        <v>#REF!</v>
      </c>
      <c r="AF30" s="20"/>
      <c r="AG30" s="20"/>
      <c r="AH30" s="20"/>
      <c r="AI30" s="20"/>
      <c r="AJ30" s="20"/>
      <c r="AK30" s="22"/>
      <c r="AL30" s="23"/>
    </row>
    <row r="31" spans="2:38" ht="12.75" customHeight="1">
      <c r="B31" s="358">
        <f t="shared" si="1"/>
        <v>25</v>
      </c>
      <c r="C31" s="83" t="s">
        <v>55</v>
      </c>
      <c r="D31" s="312">
        <v>6735.1</v>
      </c>
      <c r="E31" s="384" t="e">
        <f>#REF!</f>
        <v>#REF!</v>
      </c>
      <c r="F31" s="377">
        <f>Эсбыт!F30</f>
        <v>76.2481</v>
      </c>
      <c r="G31" s="384" t="e">
        <f>Февраль!#REF!</f>
        <v>#REF!</v>
      </c>
      <c r="H31" s="377">
        <f>Эсбыт!H30</f>
        <v>170.76919999999998</v>
      </c>
      <c r="I31" s="384" t="e">
        <f>#REF!</f>
        <v>#REF!</v>
      </c>
      <c r="J31" s="152">
        <f>Эсбыт!J30</f>
        <v>114.02350000000001</v>
      </c>
      <c r="K31" s="93" t="e">
        <f>#REF!</f>
        <v>#REF!</v>
      </c>
      <c r="L31" s="213">
        <f>Эсбыт!L30</f>
        <v>67.437</v>
      </c>
      <c r="M31" s="397" t="e">
        <f>#REF!</f>
        <v>#REF!</v>
      </c>
      <c r="N31" s="211">
        <f>Эсбыт!N30</f>
        <v>3.8215000000000003</v>
      </c>
      <c r="O31" s="93" t="e">
        <f>#REF!</f>
        <v>#REF!</v>
      </c>
      <c r="P31" s="232">
        <f>Эсбыт!P30</f>
        <v>2.7420000000000044</v>
      </c>
      <c r="Q31" s="397" t="e">
        <f>#REF!</f>
        <v>#REF!</v>
      </c>
      <c r="R31" s="211">
        <f>Эсбыт!R30</f>
        <v>13.374200000000002</v>
      </c>
      <c r="S31" s="93" t="e">
        <f>#REF!</f>
        <v>#REF!</v>
      </c>
      <c r="T31" s="211">
        <f>Эсбыт!T30</f>
        <v>4.195999999999998</v>
      </c>
      <c r="U31" s="93"/>
      <c r="V31" s="99"/>
      <c r="W31" s="90"/>
      <c r="X31" s="105"/>
      <c r="Y31" s="86"/>
      <c r="Z31" s="62"/>
      <c r="AA31" s="86"/>
      <c r="AB31" s="62"/>
      <c r="AC31" s="41" t="e">
        <f t="shared" si="2"/>
        <v>#REF!</v>
      </c>
      <c r="AD31" s="40">
        <f t="shared" si="3"/>
        <v>452.6115</v>
      </c>
      <c r="AE31" s="41" t="e">
        <f t="shared" si="4"/>
        <v>#REF!</v>
      </c>
      <c r="AF31" s="20"/>
      <c r="AG31" s="20"/>
      <c r="AH31" s="20"/>
      <c r="AI31" s="20"/>
      <c r="AJ31" s="20"/>
      <c r="AK31" s="22"/>
      <c r="AL31" s="23"/>
    </row>
    <row r="32" spans="2:38" ht="12.75" customHeight="1">
      <c r="B32" s="358">
        <f t="shared" si="1"/>
        <v>26</v>
      </c>
      <c r="C32" s="83" t="s">
        <v>42</v>
      </c>
      <c r="D32" s="312">
        <v>13989.3</v>
      </c>
      <c r="E32" s="384" t="e">
        <f>#REF!</f>
        <v>#REF!</v>
      </c>
      <c r="F32" s="377">
        <f>Эсбыт!F31</f>
        <v>148.9785</v>
      </c>
      <c r="G32" s="384" t="e">
        <f>Февраль!#REF!</f>
        <v>#REF!</v>
      </c>
      <c r="H32" s="377">
        <f>Эсбыт!H31</f>
        <v>326.2396</v>
      </c>
      <c r="I32" s="384" t="e">
        <f>#REF!</f>
        <v>#REF!</v>
      </c>
      <c r="J32" s="152">
        <f>Эсбыт!J31</f>
        <v>232.87689999999998</v>
      </c>
      <c r="K32" s="93" t="e">
        <f>#REF!</f>
        <v>#REF!</v>
      </c>
      <c r="L32" s="213">
        <f>Эсбыт!L31</f>
        <v>144.66419999999997</v>
      </c>
      <c r="M32" s="397" t="e">
        <f>#REF!</f>
        <v>#REF!</v>
      </c>
      <c r="N32" s="211">
        <f>Эсбыт!N31</f>
        <v>1.4405999999999892</v>
      </c>
      <c r="O32" s="93" t="e">
        <f>#REF!</f>
        <v>#REF!</v>
      </c>
      <c r="P32" s="232">
        <f>Эсбыт!P31</f>
        <v>-10.323600000000013</v>
      </c>
      <c r="Q32" s="397" t="e">
        <f>#REF!</f>
        <v>#REF!</v>
      </c>
      <c r="R32" s="211">
        <f>Эсбыт!R31</f>
        <v>11.777799999999992</v>
      </c>
      <c r="S32" s="93" t="e">
        <f>#REF!</f>
        <v>#REF!</v>
      </c>
      <c r="T32" s="211">
        <f>Эсбыт!T31</f>
        <v>-0.5705999999999989</v>
      </c>
      <c r="U32" s="93"/>
      <c r="V32" s="99"/>
      <c r="W32" s="90"/>
      <c r="X32" s="105"/>
      <c r="Y32" s="86"/>
      <c r="Z32" s="62"/>
      <c r="AA32" s="86"/>
      <c r="AB32" s="62"/>
      <c r="AC32" s="41" t="e">
        <f t="shared" si="2"/>
        <v>#REF!</v>
      </c>
      <c r="AD32" s="40">
        <f t="shared" si="3"/>
        <v>855.0834</v>
      </c>
      <c r="AE32" s="41" t="e">
        <f t="shared" si="4"/>
        <v>#REF!</v>
      </c>
      <c r="AF32" s="20"/>
      <c r="AG32" s="20"/>
      <c r="AH32" s="20"/>
      <c r="AI32" s="20"/>
      <c r="AJ32" s="20"/>
      <c r="AK32" s="22"/>
      <c r="AL32" s="20"/>
    </row>
    <row r="33" spans="2:38" ht="12.75" customHeight="1">
      <c r="B33" s="358">
        <f t="shared" si="1"/>
        <v>27</v>
      </c>
      <c r="C33" s="83" t="s">
        <v>2</v>
      </c>
      <c r="D33" s="312">
        <v>13695.4</v>
      </c>
      <c r="E33" s="384" t="e">
        <f>#REF!</f>
        <v>#REF!</v>
      </c>
      <c r="F33" s="377">
        <f>Эсбыт!F32</f>
        <v>146.8581</v>
      </c>
      <c r="G33" s="384" t="e">
        <f>Февраль!#REF!</f>
        <v>#REF!</v>
      </c>
      <c r="H33" s="377">
        <f>Эсбыт!H32</f>
        <v>302.5344</v>
      </c>
      <c r="I33" s="384" t="e">
        <f>#REF!</f>
        <v>#REF!</v>
      </c>
      <c r="J33" s="152">
        <f>Эсбыт!J32</f>
        <v>249.60109999999997</v>
      </c>
      <c r="K33" s="93" t="e">
        <f>#REF!</f>
        <v>#REF!</v>
      </c>
      <c r="L33" s="213">
        <f>Эсбыт!L32</f>
        <v>162.93110000000001</v>
      </c>
      <c r="M33" s="397" t="e">
        <f>#REF!</f>
        <v>#REF!</v>
      </c>
      <c r="N33" s="211">
        <f>Эсбыт!N32</f>
        <v>4.753599999999977</v>
      </c>
      <c r="O33" s="93" t="e">
        <f>#REF!</f>
        <v>#REF!</v>
      </c>
      <c r="P33" s="232">
        <f>Эсбыт!P32</f>
        <v>7.69516</v>
      </c>
      <c r="Q33" s="397" t="e">
        <f>#REF!</f>
        <v>#REF!</v>
      </c>
      <c r="R33" s="211">
        <f>Эсбыт!R32</f>
        <v>13.204279999999997</v>
      </c>
      <c r="S33" s="93" t="e">
        <f>#REF!</f>
        <v>#REF!</v>
      </c>
      <c r="T33" s="211">
        <f>Эсбыт!T32</f>
        <v>9.891079999999995</v>
      </c>
      <c r="U33" s="93"/>
      <c r="V33" s="99"/>
      <c r="W33" s="90"/>
      <c r="X33" s="105"/>
      <c r="Y33" s="86"/>
      <c r="Z33" s="62"/>
      <c r="AA33" s="86"/>
      <c r="AB33" s="62"/>
      <c r="AC33" s="41" t="e">
        <f t="shared" si="2"/>
        <v>#REF!</v>
      </c>
      <c r="AD33" s="40">
        <f t="shared" si="3"/>
        <v>897.4688199999999</v>
      </c>
      <c r="AE33" s="41" t="e">
        <f t="shared" si="4"/>
        <v>#REF!</v>
      </c>
      <c r="AF33" s="20"/>
      <c r="AG33" s="20"/>
      <c r="AH33" s="20"/>
      <c r="AI33" s="20"/>
      <c r="AJ33" s="20"/>
      <c r="AK33" s="22"/>
      <c r="AL33" s="23"/>
    </row>
    <row r="34" spans="2:38" ht="12.75" customHeight="1">
      <c r="B34" s="358">
        <f t="shared" si="1"/>
        <v>28</v>
      </c>
      <c r="C34" s="83" t="s">
        <v>3</v>
      </c>
      <c r="D34" s="312">
        <v>6360.3</v>
      </c>
      <c r="E34" s="384" t="e">
        <f>#REF!</f>
        <v>#REF!</v>
      </c>
      <c r="F34" s="377">
        <f>Эсбыт!F33</f>
        <v>80.4072</v>
      </c>
      <c r="G34" s="384" t="e">
        <f>Февраль!#REF!</f>
        <v>#REF!</v>
      </c>
      <c r="H34" s="377">
        <f>Эсбыт!H33</f>
        <v>176.7852</v>
      </c>
      <c r="I34" s="384" t="e">
        <f>#REF!</f>
        <v>#REF!</v>
      </c>
      <c r="J34" s="152">
        <f>Эсбыт!J33</f>
        <v>135.0944</v>
      </c>
      <c r="K34" s="93" t="e">
        <f>#REF!</f>
        <v>#REF!</v>
      </c>
      <c r="L34" s="213">
        <f>Эсбыт!L33</f>
        <v>101.34200000000001</v>
      </c>
      <c r="M34" s="397" t="e">
        <f>#REF!</f>
        <v>#REF!</v>
      </c>
      <c r="N34" s="211">
        <f>Эсбыт!N33</f>
        <v>16.7997</v>
      </c>
      <c r="O34" s="93" t="e">
        <f>#REF!</f>
        <v>#REF!</v>
      </c>
      <c r="P34" s="232">
        <f>Эсбыт!P33</f>
        <v>10.30412</v>
      </c>
      <c r="Q34" s="397" t="e">
        <f>#REF!</f>
        <v>#REF!</v>
      </c>
      <c r="R34" s="211">
        <f>Эсбыт!R33</f>
        <v>6.680739999999997</v>
      </c>
      <c r="S34" s="93" t="e">
        <f>#REF!</f>
        <v>#REF!</v>
      </c>
      <c r="T34" s="211">
        <f>Эсбыт!T33</f>
        <v>12.254159999999997</v>
      </c>
      <c r="U34" s="93"/>
      <c r="V34" s="99"/>
      <c r="W34" s="90"/>
      <c r="X34" s="105"/>
      <c r="Y34" s="86"/>
      <c r="Z34" s="62"/>
      <c r="AA34" s="86"/>
      <c r="AB34" s="62"/>
      <c r="AC34" s="41" t="e">
        <f t="shared" si="2"/>
        <v>#REF!</v>
      </c>
      <c r="AD34" s="40">
        <f t="shared" si="3"/>
        <v>539.66752</v>
      </c>
      <c r="AE34" s="41" t="e">
        <f t="shared" si="4"/>
        <v>#REF!</v>
      </c>
      <c r="AF34" s="20"/>
      <c r="AG34" s="20"/>
      <c r="AH34" s="20"/>
      <c r="AI34" s="20"/>
      <c r="AJ34" s="20"/>
      <c r="AK34" s="22"/>
      <c r="AL34" s="23"/>
    </row>
    <row r="35" spans="2:38" ht="12.75" customHeight="1">
      <c r="B35" s="358">
        <f t="shared" si="1"/>
        <v>29</v>
      </c>
      <c r="C35" s="83" t="s">
        <v>4</v>
      </c>
      <c r="D35" s="312">
        <v>12946.5</v>
      </c>
      <c r="E35" s="384" t="e">
        <f>#REF!</f>
        <v>#REF!</v>
      </c>
      <c r="F35" s="377">
        <f>Эсбыт!F34</f>
        <v>147.9957</v>
      </c>
      <c r="G35" s="384" t="e">
        <f>Февраль!#REF!</f>
        <v>#REF!</v>
      </c>
      <c r="H35" s="377">
        <f>Эсбыт!H34</f>
        <v>333.841</v>
      </c>
      <c r="I35" s="384" t="e">
        <f>#REF!</f>
        <v>#REF!</v>
      </c>
      <c r="J35" s="152">
        <f>Эсбыт!J34</f>
        <v>228.78159999999997</v>
      </c>
      <c r="K35" s="93" t="e">
        <f>#REF!</f>
        <v>#REF!</v>
      </c>
      <c r="L35" s="213">
        <f>Эсбыт!L34</f>
        <v>152.8097</v>
      </c>
      <c r="M35" s="397" t="e">
        <f>#REF!</f>
        <v>#REF!</v>
      </c>
      <c r="N35" s="211">
        <f>Эсбыт!N34</f>
        <v>8.194900000000004</v>
      </c>
      <c r="O35" s="93" t="e">
        <f>#REF!</f>
        <v>#REF!</v>
      </c>
      <c r="P35" s="232">
        <f>Эсбыт!P34</f>
        <v>11.3169</v>
      </c>
      <c r="Q35" s="397" t="e">
        <f>#REF!</f>
        <v>#REF!</v>
      </c>
      <c r="R35" s="211">
        <f>Эсбыт!R34</f>
        <v>10.576999999999998</v>
      </c>
      <c r="S35" s="93" t="e">
        <f>#REF!</f>
        <v>#REF!</v>
      </c>
      <c r="T35" s="211">
        <f>Эсбыт!T34</f>
        <v>16.14248</v>
      </c>
      <c r="U35" s="93"/>
      <c r="V35" s="99"/>
      <c r="W35" s="90"/>
      <c r="X35" s="105"/>
      <c r="Y35" s="86"/>
      <c r="Z35" s="62"/>
      <c r="AA35" s="86"/>
      <c r="AB35" s="62"/>
      <c r="AC35" s="41" t="e">
        <f t="shared" si="2"/>
        <v>#REF!</v>
      </c>
      <c r="AD35" s="40">
        <f t="shared" si="3"/>
        <v>909.6592799999999</v>
      </c>
      <c r="AE35" s="41" t="e">
        <f t="shared" si="4"/>
        <v>#REF!</v>
      </c>
      <c r="AF35" s="20"/>
      <c r="AG35" s="20"/>
      <c r="AH35" s="20"/>
      <c r="AI35" s="20"/>
      <c r="AJ35" s="20"/>
      <c r="AK35" s="22"/>
      <c r="AL35" s="20"/>
    </row>
    <row r="36" spans="2:38" ht="12.75" customHeight="1">
      <c r="B36" s="358">
        <f t="shared" si="1"/>
        <v>30</v>
      </c>
      <c r="C36" s="83" t="s">
        <v>5</v>
      </c>
      <c r="D36" s="312">
        <v>12207.7</v>
      </c>
      <c r="E36" s="384" t="e">
        <f>#REF!</f>
        <v>#REF!</v>
      </c>
      <c r="F36" s="377">
        <f>Эсбыт!F35</f>
        <v>165.10180000000003</v>
      </c>
      <c r="G36" s="384" t="e">
        <f>Февраль!#REF!</f>
        <v>#REF!</v>
      </c>
      <c r="H36" s="377">
        <f>Эсбыт!H35</f>
        <v>267.9792</v>
      </c>
      <c r="I36" s="384" t="e">
        <f>#REF!</f>
        <v>#REF!</v>
      </c>
      <c r="J36" s="152">
        <f>Эсбыт!J35</f>
        <v>209.8748</v>
      </c>
      <c r="K36" s="93" t="e">
        <f>#REF!</f>
        <v>#REF!</v>
      </c>
      <c r="L36" s="213">
        <f>Эсбыт!L35</f>
        <v>137.3448</v>
      </c>
      <c r="M36" s="397" t="e">
        <f>#REF!</f>
        <v>#REF!</v>
      </c>
      <c r="N36" s="211">
        <f>Эсбыт!N35</f>
        <v>-2.591000000000001</v>
      </c>
      <c r="O36" s="93" t="e">
        <f>#REF!</f>
        <v>#REF!</v>
      </c>
      <c r="P36" s="232">
        <f>Эсбыт!P35</f>
        <v>-0.44879999999999143</v>
      </c>
      <c r="Q36" s="397" t="e">
        <f>#REF!</f>
        <v>#REF!</v>
      </c>
      <c r="R36" s="211">
        <f>Эсбыт!R35</f>
        <v>7.822599999999994</v>
      </c>
      <c r="S36" s="93" t="e">
        <f>#REF!</f>
        <v>#REF!</v>
      </c>
      <c r="T36" s="211">
        <f>Эсбыт!T35</f>
        <v>3.8941000000000017</v>
      </c>
      <c r="U36" s="93"/>
      <c r="V36" s="99"/>
      <c r="W36" s="90"/>
      <c r="X36" s="105"/>
      <c r="Y36" s="86"/>
      <c r="Z36" s="62"/>
      <c r="AA36" s="86"/>
      <c r="AB36" s="62"/>
      <c r="AC36" s="41" t="e">
        <f t="shared" si="2"/>
        <v>#REF!</v>
      </c>
      <c r="AD36" s="40">
        <f t="shared" si="3"/>
        <v>788.9775000000001</v>
      </c>
      <c r="AE36" s="41" t="e">
        <f t="shared" si="4"/>
        <v>#REF!</v>
      </c>
      <c r="AF36" s="20"/>
      <c r="AG36" s="20"/>
      <c r="AH36" s="20"/>
      <c r="AI36" s="20"/>
      <c r="AJ36" s="20"/>
      <c r="AK36" s="22"/>
      <c r="AL36" s="20"/>
    </row>
    <row r="37" spans="2:38" ht="12.75" customHeight="1">
      <c r="B37" s="358">
        <f t="shared" si="1"/>
        <v>31</v>
      </c>
      <c r="C37" s="83" t="s">
        <v>6</v>
      </c>
      <c r="D37" s="312">
        <v>4902.2</v>
      </c>
      <c r="E37" s="384" t="e">
        <f>#REF!</f>
        <v>#REF!</v>
      </c>
      <c r="F37" s="377">
        <f>Эсбыт!F36</f>
        <v>58.0497</v>
      </c>
      <c r="G37" s="384" t="e">
        <f>Февраль!#REF!</f>
        <v>#REF!</v>
      </c>
      <c r="H37" s="377">
        <f>Эсбыт!H36</f>
        <v>113.68450000000001</v>
      </c>
      <c r="I37" s="384" t="e">
        <f>#REF!</f>
        <v>#REF!</v>
      </c>
      <c r="J37" s="152">
        <f>Эсбыт!J36</f>
        <v>88.3724</v>
      </c>
      <c r="K37" s="93" t="e">
        <f>#REF!</f>
        <v>#REF!</v>
      </c>
      <c r="L37" s="213">
        <f>Эсбыт!L36</f>
        <v>55.9816</v>
      </c>
      <c r="M37" s="397" t="e">
        <f>#REF!</f>
        <v>#REF!</v>
      </c>
      <c r="N37" s="211">
        <f>Эсбыт!N36</f>
        <v>3.2744</v>
      </c>
      <c r="O37" s="93" t="e">
        <f>#REF!</f>
        <v>#REF!</v>
      </c>
      <c r="P37" s="232">
        <f>Эсбыт!P36</f>
        <v>0.17740000000000578</v>
      </c>
      <c r="Q37" s="397" t="e">
        <f>#REF!</f>
        <v>#REF!</v>
      </c>
      <c r="R37" s="211">
        <f>Эсбыт!R36</f>
        <v>1.8000000000000007</v>
      </c>
      <c r="S37" s="93" t="e">
        <f>#REF!</f>
        <v>#REF!</v>
      </c>
      <c r="T37" s="211">
        <f>Эсбыт!T36</f>
        <v>2.7073</v>
      </c>
      <c r="U37" s="93"/>
      <c r="V37" s="99"/>
      <c r="W37" s="90"/>
      <c r="X37" s="105"/>
      <c r="Y37" s="86"/>
      <c r="Z37" s="62"/>
      <c r="AA37" s="86"/>
      <c r="AB37" s="62"/>
      <c r="AC37" s="41" t="e">
        <f t="shared" si="2"/>
        <v>#REF!</v>
      </c>
      <c r="AD37" s="40">
        <f t="shared" si="3"/>
        <v>324.04730000000006</v>
      </c>
      <c r="AE37" s="41" t="e">
        <f t="shared" si="4"/>
        <v>#REF!</v>
      </c>
      <c r="AF37" s="20"/>
      <c r="AG37" s="20"/>
      <c r="AH37" s="20"/>
      <c r="AI37" s="20"/>
      <c r="AJ37" s="20"/>
      <c r="AK37" s="22"/>
      <c r="AL37" s="20"/>
    </row>
    <row r="38" spans="2:38" ht="12.75" customHeight="1">
      <c r="B38" s="358">
        <f t="shared" si="1"/>
        <v>32</v>
      </c>
      <c r="C38" s="83" t="s">
        <v>64</v>
      </c>
      <c r="D38" s="312">
        <v>19674.8</v>
      </c>
      <c r="E38" s="384" t="e">
        <f>#REF!</f>
        <v>#REF!</v>
      </c>
      <c r="F38" s="377">
        <f>Эсбыт!F37</f>
        <v>229.02570000000003</v>
      </c>
      <c r="G38" s="384" t="e">
        <f>Февраль!#REF!</f>
        <v>#REF!</v>
      </c>
      <c r="H38" s="377">
        <f>Эсбыт!H37</f>
        <v>489.9494</v>
      </c>
      <c r="I38" s="384" t="e">
        <f>#REF!</f>
        <v>#REF!</v>
      </c>
      <c r="J38" s="152">
        <f>Эсбыт!J37</f>
        <v>330.2773</v>
      </c>
      <c r="K38" s="93" t="e">
        <f>#REF!</f>
        <v>#REF!</v>
      </c>
      <c r="L38" s="213">
        <f>Эсбыт!L37</f>
        <v>215.87599999999998</v>
      </c>
      <c r="M38" s="397" t="e">
        <f>#REF!</f>
        <v>#REF!</v>
      </c>
      <c r="N38" s="211">
        <f>Эсбыт!N37</f>
        <v>14.933499999999995</v>
      </c>
      <c r="O38" s="93" t="e">
        <f>#REF!</f>
        <v>#REF!</v>
      </c>
      <c r="P38" s="232">
        <f>Эсбыт!P37</f>
        <v>16.40874</v>
      </c>
      <c r="Q38" s="397" t="e">
        <f>#REF!</f>
        <v>#REF!</v>
      </c>
      <c r="R38" s="211">
        <f>Эсбыт!R37</f>
        <v>17.97873999999999</v>
      </c>
      <c r="S38" s="93" t="e">
        <f>#REF!</f>
        <v>#REF!</v>
      </c>
      <c r="T38" s="211">
        <f>Эсбыт!T37</f>
        <v>17.619859999999985</v>
      </c>
      <c r="U38" s="93"/>
      <c r="V38" s="99"/>
      <c r="W38" s="90"/>
      <c r="X38" s="105"/>
      <c r="Y38" s="86"/>
      <c r="Z38" s="62"/>
      <c r="AA38" s="86"/>
      <c r="AB38" s="62"/>
      <c r="AC38" s="41" t="e">
        <f t="shared" si="2"/>
        <v>#REF!</v>
      </c>
      <c r="AD38" s="40">
        <f t="shared" si="3"/>
        <v>1332.0692399999998</v>
      </c>
      <c r="AE38" s="41" t="e">
        <f t="shared" si="4"/>
        <v>#REF!</v>
      </c>
      <c r="AF38" s="20"/>
      <c r="AG38" s="20"/>
      <c r="AH38" s="20"/>
      <c r="AI38" s="20"/>
      <c r="AJ38" s="20"/>
      <c r="AK38" s="22"/>
      <c r="AL38" s="20"/>
    </row>
    <row r="39" spans="2:38" ht="12.75" customHeight="1">
      <c r="B39" s="358">
        <f t="shared" si="1"/>
        <v>33</v>
      </c>
      <c r="C39" s="83" t="s">
        <v>7</v>
      </c>
      <c r="D39" s="312">
        <v>10939</v>
      </c>
      <c r="E39" s="384" t="e">
        <f>#REF!</f>
        <v>#REF!</v>
      </c>
      <c r="F39" s="377">
        <f>Эсбыт!F38</f>
        <v>120.7251</v>
      </c>
      <c r="G39" s="384" t="e">
        <f>Февраль!#REF!</f>
        <v>#REF!</v>
      </c>
      <c r="H39" s="377">
        <f>Эсбыт!H38</f>
        <v>294.5193</v>
      </c>
      <c r="I39" s="384" t="e">
        <f>#REF!</f>
        <v>#REF!</v>
      </c>
      <c r="J39" s="152">
        <f>Эсбыт!J38</f>
        <v>223.75789999999998</v>
      </c>
      <c r="K39" s="93" t="e">
        <f>#REF!</f>
        <v>#REF!</v>
      </c>
      <c r="L39" s="213">
        <f>Эсбыт!L38</f>
        <v>164.58520000000001</v>
      </c>
      <c r="M39" s="397" t="e">
        <f>#REF!</f>
        <v>#REF!</v>
      </c>
      <c r="N39" s="211">
        <f>Эсбыт!N38</f>
        <v>25.471899999999998</v>
      </c>
      <c r="O39" s="93" t="e">
        <f>#REF!</f>
        <v>#REF!</v>
      </c>
      <c r="P39" s="232">
        <f>Эсбыт!P38</f>
        <v>17.9648</v>
      </c>
      <c r="Q39" s="397" t="e">
        <f>#REF!</f>
        <v>#REF!</v>
      </c>
      <c r="R39" s="211">
        <f>Эсбыт!R38</f>
        <v>13.712460000000002</v>
      </c>
      <c r="S39" s="93" t="e">
        <f>#REF!</f>
        <v>#REF!</v>
      </c>
      <c r="T39" s="211">
        <f>Эсбыт!T38</f>
        <v>5.434899999999999</v>
      </c>
      <c r="U39" s="93"/>
      <c r="V39" s="99"/>
      <c r="W39" s="90"/>
      <c r="X39" s="105"/>
      <c r="Y39" s="86"/>
      <c r="Z39" s="62"/>
      <c r="AA39" s="86"/>
      <c r="AB39" s="62"/>
      <c r="AC39" s="41" t="e">
        <f t="shared" si="2"/>
        <v>#REF!</v>
      </c>
      <c r="AD39" s="40">
        <f t="shared" si="3"/>
        <v>866.1715599999999</v>
      </c>
      <c r="AE39" s="41" t="e">
        <f t="shared" si="4"/>
        <v>#REF!</v>
      </c>
      <c r="AF39" s="20"/>
      <c r="AG39" s="20"/>
      <c r="AH39" s="20"/>
      <c r="AI39" s="20"/>
      <c r="AJ39" s="20"/>
      <c r="AK39" s="22"/>
      <c r="AL39" s="23"/>
    </row>
    <row r="40" spans="2:38" ht="12.75" customHeight="1">
      <c r="B40" s="358">
        <f t="shared" si="1"/>
        <v>34</v>
      </c>
      <c r="C40" s="83" t="s">
        <v>8</v>
      </c>
      <c r="D40" s="312">
        <v>6730.4</v>
      </c>
      <c r="E40" s="384" t="e">
        <f>#REF!</f>
        <v>#REF!</v>
      </c>
      <c r="F40" s="377">
        <f>Эсбыт!F39</f>
        <v>86.03389999999999</v>
      </c>
      <c r="G40" s="384" t="e">
        <f>Февраль!#REF!</f>
        <v>#REF!</v>
      </c>
      <c r="H40" s="377">
        <f>Эсбыт!H39</f>
        <v>201.8936</v>
      </c>
      <c r="I40" s="384" t="e">
        <f>#REF!</f>
        <v>#REF!</v>
      </c>
      <c r="J40" s="152">
        <f>Эсбыт!J39</f>
        <v>137.55219999999997</v>
      </c>
      <c r="K40" s="93" t="e">
        <f>#REF!</f>
        <v>#REF!</v>
      </c>
      <c r="L40" s="213">
        <f>Эсбыт!L39</f>
        <v>94.5901</v>
      </c>
      <c r="M40" s="397" t="e">
        <f>#REF!</f>
        <v>#REF!</v>
      </c>
      <c r="N40" s="211">
        <f>Эсбыт!N39</f>
        <v>18.537</v>
      </c>
      <c r="O40" s="93" t="e">
        <f>#REF!</f>
        <v>#REF!</v>
      </c>
      <c r="P40" s="232">
        <f>Эсбыт!P39</f>
        <v>15.572299999999991</v>
      </c>
      <c r="Q40" s="397" t="e">
        <f>#REF!</f>
        <v>#REF!</v>
      </c>
      <c r="R40" s="211">
        <f>Эсбыт!R39</f>
        <v>11.988499999999995</v>
      </c>
      <c r="S40" s="93" t="e">
        <f>#REF!</f>
        <v>#REF!</v>
      </c>
      <c r="T40" s="211">
        <f>Эсбыт!T39</f>
        <v>18.0788</v>
      </c>
      <c r="U40" s="93"/>
      <c r="V40" s="99"/>
      <c r="W40" s="90"/>
      <c r="X40" s="105"/>
      <c r="Y40" s="86"/>
      <c r="Z40" s="62"/>
      <c r="AA40" s="86"/>
      <c r="AB40" s="62"/>
      <c r="AC40" s="41" t="e">
        <f t="shared" si="2"/>
        <v>#REF!</v>
      </c>
      <c r="AD40" s="40">
        <f t="shared" si="3"/>
        <v>584.2464</v>
      </c>
      <c r="AE40" s="41" t="e">
        <f t="shared" si="4"/>
        <v>#REF!</v>
      </c>
      <c r="AF40" s="20"/>
      <c r="AG40" s="20"/>
      <c r="AH40" s="20"/>
      <c r="AI40" s="20"/>
      <c r="AJ40" s="20"/>
      <c r="AK40" s="22"/>
      <c r="AL40" s="20"/>
    </row>
    <row r="41" spans="2:38" ht="12.75" customHeight="1">
      <c r="B41" s="358">
        <f t="shared" si="1"/>
        <v>35</v>
      </c>
      <c r="C41" s="83" t="s">
        <v>9</v>
      </c>
      <c r="D41" s="312">
        <v>6586.2</v>
      </c>
      <c r="E41" s="384" t="e">
        <f>#REF!</f>
        <v>#REF!</v>
      </c>
      <c r="F41" s="377">
        <f>Эсбыт!F40</f>
        <v>70.01339999999999</v>
      </c>
      <c r="G41" s="384" t="e">
        <f>Февраль!#REF!</f>
        <v>#REF!</v>
      </c>
      <c r="H41" s="377">
        <f>Эсбыт!H40</f>
        <v>158.6821</v>
      </c>
      <c r="I41" s="384" t="e">
        <f>#REF!</f>
        <v>#REF!</v>
      </c>
      <c r="J41" s="152">
        <f>Эсбыт!J40</f>
        <v>121.14020000000001</v>
      </c>
      <c r="K41" s="93" t="e">
        <f>#REF!</f>
        <v>#REF!</v>
      </c>
      <c r="L41" s="213">
        <f>Эсбыт!L40</f>
        <v>73.6482</v>
      </c>
      <c r="M41" s="397" t="e">
        <f>#REF!</f>
        <v>#REF!</v>
      </c>
      <c r="N41" s="211">
        <f>Эсбыт!N40</f>
        <v>4.1710999999999885</v>
      </c>
      <c r="O41" s="93" t="e">
        <f>#REF!</f>
        <v>#REF!</v>
      </c>
      <c r="P41" s="232">
        <f>Эсбыт!P40</f>
        <v>-0.12557999999999422</v>
      </c>
      <c r="Q41" s="397" t="e">
        <f>#REF!</f>
        <v>#REF!</v>
      </c>
      <c r="R41" s="211">
        <f>Эсбыт!R40</f>
        <v>5.200599999999999</v>
      </c>
      <c r="S41" s="93" t="e">
        <f>#REF!</f>
        <v>#REF!</v>
      </c>
      <c r="T41" s="211">
        <f>Эсбыт!T40</f>
        <v>6.7119</v>
      </c>
      <c r="U41" s="93"/>
      <c r="V41" s="99"/>
      <c r="W41" s="90"/>
      <c r="X41" s="105"/>
      <c r="Y41" s="86"/>
      <c r="Z41" s="62"/>
      <c r="AA41" s="86"/>
      <c r="AB41" s="62"/>
      <c r="AC41" s="41" t="e">
        <f t="shared" si="2"/>
        <v>#REF!</v>
      </c>
      <c r="AD41" s="40">
        <f t="shared" si="3"/>
        <v>439.44192</v>
      </c>
      <c r="AE41" s="41" t="e">
        <f t="shared" si="4"/>
        <v>#REF!</v>
      </c>
      <c r="AF41" s="20"/>
      <c r="AG41" s="20"/>
      <c r="AH41" s="20"/>
      <c r="AI41" s="20"/>
      <c r="AJ41" s="20"/>
      <c r="AK41" s="22"/>
      <c r="AL41" s="20"/>
    </row>
    <row r="42" spans="2:38" ht="12.75" customHeight="1">
      <c r="B42" s="358">
        <f t="shared" si="1"/>
        <v>36</v>
      </c>
      <c r="C42" s="83" t="s">
        <v>10</v>
      </c>
      <c r="D42" s="312">
        <v>2378.8</v>
      </c>
      <c r="E42" s="384" t="e">
        <f>#REF!</f>
        <v>#REF!</v>
      </c>
      <c r="F42" s="377">
        <f>Эсбыт!F41</f>
        <v>36.4613</v>
      </c>
      <c r="G42" s="384" t="e">
        <f>Февраль!#REF!</f>
        <v>#REF!</v>
      </c>
      <c r="H42" s="377">
        <f>Эсбыт!H41</f>
        <v>75.1037</v>
      </c>
      <c r="I42" s="384" t="e">
        <f>#REF!</f>
        <v>#REF!</v>
      </c>
      <c r="J42" s="152">
        <f>Эсбыт!J41</f>
        <v>38.6823</v>
      </c>
      <c r="K42" s="93" t="e">
        <f>#REF!</f>
        <v>#REF!</v>
      </c>
      <c r="L42" s="213">
        <f>Эсбыт!L41</f>
        <v>38.420500000000004</v>
      </c>
      <c r="M42" s="397" t="e">
        <f>#REF!</f>
        <v>#REF!</v>
      </c>
      <c r="N42" s="211">
        <f>Эсбыт!N41</f>
        <v>4.855500000000001</v>
      </c>
      <c r="O42" s="93" t="e">
        <f>#REF!</f>
        <v>#REF!</v>
      </c>
      <c r="P42" s="232">
        <f>Эсбыт!P41</f>
        <v>5.048339999999998</v>
      </c>
      <c r="Q42" s="397" t="e">
        <f>#REF!</f>
        <v>#REF!</v>
      </c>
      <c r="R42" s="211">
        <f>Эсбыт!R41</f>
        <v>3.9236400000000002</v>
      </c>
      <c r="S42" s="93" t="e">
        <f>#REF!</f>
        <v>#REF!</v>
      </c>
      <c r="T42" s="211">
        <f>Эсбыт!T41</f>
        <v>6.6257600000000005</v>
      </c>
      <c r="U42" s="93"/>
      <c r="V42" s="109"/>
      <c r="W42" s="90"/>
      <c r="X42" s="105"/>
      <c r="Y42" s="86"/>
      <c r="Z42" s="62"/>
      <c r="AA42" s="86"/>
      <c r="AB42" s="62"/>
      <c r="AC42" s="41" t="e">
        <f t="shared" si="2"/>
        <v>#REF!</v>
      </c>
      <c r="AD42" s="40">
        <f t="shared" si="3"/>
        <v>209.12104</v>
      </c>
      <c r="AE42" s="41" t="e">
        <f t="shared" si="4"/>
        <v>#REF!</v>
      </c>
      <c r="AF42" s="20"/>
      <c r="AG42" s="20"/>
      <c r="AH42" s="20"/>
      <c r="AI42" s="20"/>
      <c r="AJ42" s="20"/>
      <c r="AK42" s="22"/>
      <c r="AL42" s="20"/>
    </row>
    <row r="43" spans="2:38" ht="12.75" customHeight="1">
      <c r="B43" s="358">
        <f t="shared" si="1"/>
        <v>37</v>
      </c>
      <c r="C43" s="83" t="s">
        <v>11</v>
      </c>
      <c r="D43" s="312">
        <v>7175.7</v>
      </c>
      <c r="E43" s="384" t="e">
        <f>#REF!</f>
        <v>#REF!</v>
      </c>
      <c r="F43" s="377">
        <f>Эсбыт!F44</f>
        <v>87.3475</v>
      </c>
      <c r="G43" s="384" t="e">
        <f>Февраль!#REF!</f>
        <v>#REF!</v>
      </c>
      <c r="H43" s="377">
        <f>Эсбыт!H44</f>
        <v>212.2192</v>
      </c>
      <c r="I43" s="384" t="e">
        <f>#REF!</f>
        <v>#REF!</v>
      </c>
      <c r="J43" s="152">
        <f>Эсбыт!J44</f>
        <v>149.31109999999998</v>
      </c>
      <c r="K43" s="93" t="e">
        <f>#REF!</f>
        <v>#REF!</v>
      </c>
      <c r="L43" s="213">
        <f>Эсбыт!L44</f>
        <v>107.4993</v>
      </c>
      <c r="M43" s="397" t="e">
        <f>#REF!</f>
        <v>#REF!</v>
      </c>
      <c r="N43" s="211">
        <f>Эсбыт!N44</f>
        <v>13.18569999999999</v>
      </c>
      <c r="O43" s="93" t="e">
        <f>#REF!</f>
        <v>#REF!</v>
      </c>
      <c r="P43" s="232">
        <f>Эсбыт!P44</f>
        <v>1.7629399999999953</v>
      </c>
      <c r="Q43" s="397" t="e">
        <f>#REF!</f>
        <v>#REF!</v>
      </c>
      <c r="R43" s="211">
        <f>Эсбыт!R44</f>
        <v>1.098080000000001</v>
      </c>
      <c r="S43" s="93" t="e">
        <f>#REF!</f>
        <v>#REF!</v>
      </c>
      <c r="T43" s="211">
        <f>Эсбыт!T44</f>
        <v>5.991819999999998</v>
      </c>
      <c r="U43" s="93"/>
      <c r="V43" s="99"/>
      <c r="W43" s="90"/>
      <c r="X43" s="105"/>
      <c r="Y43" s="86"/>
      <c r="Z43" s="62"/>
      <c r="AA43" s="86"/>
      <c r="AB43" s="62"/>
      <c r="AC43" s="41" t="e">
        <f t="shared" si="2"/>
        <v>#REF!</v>
      </c>
      <c r="AD43" s="40">
        <f t="shared" si="3"/>
        <v>578.4156399999999</v>
      </c>
      <c r="AE43" s="41" t="e">
        <f t="shared" si="4"/>
        <v>#REF!</v>
      </c>
      <c r="AF43" s="20"/>
      <c r="AG43" s="20"/>
      <c r="AH43" s="20"/>
      <c r="AI43" s="20"/>
      <c r="AJ43" s="20"/>
      <c r="AK43" s="22"/>
      <c r="AL43" s="20"/>
    </row>
    <row r="44" spans="2:38" ht="12.75" customHeight="1">
      <c r="B44" s="358">
        <f t="shared" si="1"/>
        <v>38</v>
      </c>
      <c r="C44" s="365" t="s">
        <v>58</v>
      </c>
      <c r="D44" s="313">
        <v>4256.7</v>
      </c>
      <c r="E44" s="258" t="e">
        <f>#REF!</f>
        <v>#REF!</v>
      </c>
      <c r="F44" s="261">
        <f>Эсбыт!F45</f>
        <v>112.3108</v>
      </c>
      <c r="G44" s="258" t="e">
        <f>Февраль!#REF!</f>
        <v>#REF!</v>
      </c>
      <c r="H44" s="261">
        <f>Эсбыт!H45</f>
        <v>135.27519999999998</v>
      </c>
      <c r="I44" s="258" t="e">
        <f>#REF!</f>
        <v>#REF!</v>
      </c>
      <c r="J44" s="259">
        <f>Эсбыт!J45</f>
        <v>120.30660000000002</v>
      </c>
      <c r="K44" s="258" t="e">
        <f>#REF!</f>
        <v>#REF!</v>
      </c>
      <c r="L44" s="260">
        <f>Эсбыт!L45</f>
        <v>65.59219999999999</v>
      </c>
      <c r="M44" s="258" t="e">
        <f>#REF!</f>
        <v>#REF!</v>
      </c>
      <c r="N44" s="259">
        <f>Эсбыт!N45</f>
        <v>12.269399999999994</v>
      </c>
      <c r="O44" s="258" t="e">
        <f>#REF!</f>
        <v>#REF!</v>
      </c>
      <c r="P44" s="261">
        <f>Эсбыт!P45</f>
        <v>4.827999999999999</v>
      </c>
      <c r="Q44" s="269" t="e">
        <f>#REF!</f>
        <v>#REF!</v>
      </c>
      <c r="R44" s="308">
        <f>Эсбыт!R45</f>
        <v>-9.324</v>
      </c>
      <c r="S44" s="269" t="e">
        <f>#REF!</f>
        <v>#REF!</v>
      </c>
      <c r="T44" s="308">
        <f>Эсбыт!T45</f>
        <v>11.138699999999998</v>
      </c>
      <c r="U44" s="258"/>
      <c r="V44" s="262"/>
      <c r="W44" s="263"/>
      <c r="X44" s="264"/>
      <c r="Y44" s="265"/>
      <c r="Z44" s="266"/>
      <c r="AA44" s="265"/>
      <c r="AB44" s="266"/>
      <c r="AC44" s="267" t="e">
        <f t="shared" si="2"/>
        <v>#REF!</v>
      </c>
      <c r="AD44" s="268">
        <f t="shared" si="3"/>
        <v>452.39689999999996</v>
      </c>
      <c r="AE44" s="267" t="e">
        <f t="shared" si="4"/>
        <v>#REF!</v>
      </c>
      <c r="AF44" s="20"/>
      <c r="AG44" s="20"/>
      <c r="AH44" s="20"/>
      <c r="AI44" s="20"/>
      <c r="AJ44" s="20"/>
      <c r="AK44" s="22"/>
      <c r="AL44" s="20"/>
    </row>
    <row r="45" spans="2:38" ht="12.75" customHeight="1">
      <c r="B45" s="358">
        <f t="shared" si="1"/>
        <v>39</v>
      </c>
      <c r="C45" s="83" t="s">
        <v>12</v>
      </c>
      <c r="D45" s="312">
        <v>5797</v>
      </c>
      <c r="E45" s="384" t="e">
        <f>#REF!</f>
        <v>#REF!</v>
      </c>
      <c r="F45" s="377">
        <f>Эсбыт!F46</f>
        <v>83.0086</v>
      </c>
      <c r="G45" s="384" t="e">
        <f>Февраль!#REF!</f>
        <v>#REF!</v>
      </c>
      <c r="H45" s="377">
        <f>Эсбыт!H46</f>
        <v>172.20960000000002</v>
      </c>
      <c r="I45" s="384" t="e">
        <f>#REF!</f>
        <v>#REF!</v>
      </c>
      <c r="J45" s="152">
        <f>Эсбыт!J46</f>
        <v>108.33349999999999</v>
      </c>
      <c r="K45" s="93" t="e">
        <f>#REF!</f>
        <v>#REF!</v>
      </c>
      <c r="L45" s="213">
        <f>Эсбыт!L46</f>
        <v>79.2785</v>
      </c>
      <c r="M45" s="397" t="e">
        <f>#REF!</f>
        <v>#REF!</v>
      </c>
      <c r="N45" s="211">
        <f>Эсбыт!N46</f>
        <v>5.551699999999997</v>
      </c>
      <c r="O45" s="93" t="e">
        <f>#REF!</f>
        <v>#REF!</v>
      </c>
      <c r="P45" s="232">
        <f>Эсбыт!P46</f>
        <v>-5.366500000000002</v>
      </c>
      <c r="Q45" s="397" t="e">
        <f>#REF!</f>
        <v>#REF!</v>
      </c>
      <c r="R45" s="211">
        <f>Эсбыт!R46</f>
        <v>-0.5701999999999998</v>
      </c>
      <c r="S45" s="93" t="e">
        <f>#REF!</f>
        <v>#REF!</v>
      </c>
      <c r="T45" s="211">
        <f>Эсбыт!T46</f>
        <v>-1.7988999999999997</v>
      </c>
      <c r="U45" s="93"/>
      <c r="V45" s="99"/>
      <c r="W45" s="90"/>
      <c r="X45" s="105"/>
      <c r="Y45" s="86"/>
      <c r="Z45" s="62"/>
      <c r="AA45" s="86"/>
      <c r="AB45" s="62"/>
      <c r="AC45" s="41" t="e">
        <f t="shared" si="2"/>
        <v>#REF!</v>
      </c>
      <c r="AD45" s="40">
        <f t="shared" si="3"/>
        <v>440.6463</v>
      </c>
      <c r="AE45" s="41" t="e">
        <f t="shared" si="4"/>
        <v>#REF!</v>
      </c>
      <c r="AF45" s="20"/>
      <c r="AG45" s="20"/>
      <c r="AH45" s="20"/>
      <c r="AI45" s="20"/>
      <c r="AJ45" s="20"/>
      <c r="AK45" s="22"/>
      <c r="AL45" s="20"/>
    </row>
    <row r="46" spans="2:38" ht="12.75" customHeight="1">
      <c r="B46" s="358">
        <f t="shared" si="1"/>
        <v>40</v>
      </c>
      <c r="C46" s="83" t="s">
        <v>134</v>
      </c>
      <c r="D46" s="312">
        <v>5325.4</v>
      </c>
      <c r="E46" s="384" t="e">
        <f>#REF!</f>
        <v>#REF!</v>
      </c>
      <c r="F46" s="377">
        <f>Эсбыт!F49</f>
        <v>78.83051999999999</v>
      </c>
      <c r="G46" s="384" t="e">
        <f>Февраль!#REF!</f>
        <v>#REF!</v>
      </c>
      <c r="H46" s="377">
        <f>Эсбыт!H49</f>
        <v>23.19476</v>
      </c>
      <c r="I46" s="384" t="e">
        <f>#REF!</f>
        <v>#REF!</v>
      </c>
      <c r="J46" s="152">
        <f>Эсбыт!J49</f>
        <v>109.94727999999999</v>
      </c>
      <c r="K46" s="93" t="e">
        <f>#REF!</f>
        <v>#REF!</v>
      </c>
      <c r="L46" s="213">
        <f>Эсбыт!L49</f>
        <v>117.94476</v>
      </c>
      <c r="M46" s="397" t="e">
        <f>#REF!</f>
        <v>#REF!</v>
      </c>
      <c r="N46" s="211">
        <f>Эсбыт!N49</f>
        <v>53.62932</v>
      </c>
      <c r="O46" s="93" t="e">
        <f>#REF!</f>
        <v>#REF!</v>
      </c>
      <c r="P46" s="232">
        <f>Эсбыт!P49</f>
        <v>21.424639999999997</v>
      </c>
      <c r="Q46" s="397" t="e">
        <f>#REF!</f>
        <v>#REF!</v>
      </c>
      <c r="R46" s="211">
        <f>Эсбыт!R49</f>
        <v>2.20808</v>
      </c>
      <c r="S46" s="93" t="e">
        <f>#REF!</f>
        <v>#REF!</v>
      </c>
      <c r="T46" s="211">
        <f>Эсбыт!T49</f>
        <v>6.032679999999999</v>
      </c>
      <c r="U46" s="93"/>
      <c r="V46" s="99"/>
      <c r="W46" s="90"/>
      <c r="X46" s="105"/>
      <c r="Y46" s="86"/>
      <c r="Z46" s="62"/>
      <c r="AA46" s="86"/>
      <c r="AB46" s="62"/>
      <c r="AC46" s="41" t="e">
        <f t="shared" si="2"/>
        <v>#REF!</v>
      </c>
      <c r="AD46" s="40">
        <f t="shared" si="3"/>
        <v>413.21203999999994</v>
      </c>
      <c r="AE46" s="41" t="e">
        <f t="shared" si="4"/>
        <v>#REF!</v>
      </c>
      <c r="AF46" s="20"/>
      <c r="AG46" s="20"/>
      <c r="AH46" s="20"/>
      <c r="AI46" s="20"/>
      <c r="AJ46" s="20"/>
      <c r="AK46" s="22"/>
      <c r="AL46" s="20"/>
    </row>
    <row r="47" spans="2:38" ht="12.75" customHeight="1">
      <c r="B47" s="358">
        <f t="shared" si="1"/>
        <v>41</v>
      </c>
      <c r="C47" s="368" t="s">
        <v>13</v>
      </c>
      <c r="D47" s="312">
        <v>11675.3</v>
      </c>
      <c r="E47" s="386" t="e">
        <f>#REF!</f>
        <v>#REF!</v>
      </c>
      <c r="F47" s="379">
        <f>Эсбыт!F50</f>
        <v>142.01029999999997</v>
      </c>
      <c r="G47" s="386" t="e">
        <f>Февраль!#REF!</f>
        <v>#REF!</v>
      </c>
      <c r="H47" s="379">
        <f>Эсбыт!H50</f>
        <v>383.4448</v>
      </c>
      <c r="I47" s="386" t="e">
        <f>#REF!</f>
        <v>#REF!</v>
      </c>
      <c r="J47" s="214">
        <f>Эсбыт!J50</f>
        <v>239.86759999999998</v>
      </c>
      <c r="K47" s="94" t="e">
        <f>#REF!</f>
        <v>#REF!</v>
      </c>
      <c r="L47" s="272">
        <f>Эсбыт!L50</f>
        <v>148.80849999999998</v>
      </c>
      <c r="M47" s="94" t="e">
        <f>#REF!</f>
        <v>#REF!</v>
      </c>
      <c r="N47" s="305">
        <f>Эсбыт!N50</f>
        <v>31.92009999999999</v>
      </c>
      <c r="O47" s="94" t="e">
        <f>#REF!</f>
        <v>#REF!</v>
      </c>
      <c r="P47" s="273">
        <f>Эсбыт!P50</f>
        <v>-0.10130000000000905</v>
      </c>
      <c r="Q47" s="94" t="e">
        <f>#REF!</f>
        <v>#REF!</v>
      </c>
      <c r="R47" s="305">
        <f>Эсбыт!R50</f>
        <v>7.231299999999997</v>
      </c>
      <c r="S47" s="94" t="e">
        <f>#REF!</f>
        <v>#REF!</v>
      </c>
      <c r="T47" s="305">
        <f>Эсбыт!T50</f>
        <v>15.990699999999997</v>
      </c>
      <c r="U47" s="94"/>
      <c r="V47" s="102"/>
      <c r="W47" s="90"/>
      <c r="X47" s="107"/>
      <c r="Y47" s="96"/>
      <c r="Z47" s="63"/>
      <c r="AA47" s="96"/>
      <c r="AB47" s="63"/>
      <c r="AC47" s="274" t="e">
        <f t="shared" si="2"/>
        <v>#REF!</v>
      </c>
      <c r="AD47" s="275">
        <f t="shared" si="3"/>
        <v>969.1719999999998</v>
      </c>
      <c r="AE47" s="274" t="e">
        <f t="shared" si="4"/>
        <v>#REF!</v>
      </c>
      <c r="AF47" s="20"/>
      <c r="AG47" s="20"/>
      <c r="AH47" s="20"/>
      <c r="AI47" s="20"/>
      <c r="AJ47" s="20"/>
      <c r="AK47" s="22"/>
      <c r="AL47" s="23"/>
    </row>
    <row r="48" spans="2:38" ht="12.75" customHeight="1">
      <c r="B48" s="358">
        <f t="shared" si="1"/>
        <v>42</v>
      </c>
      <c r="C48" s="366" t="s">
        <v>14</v>
      </c>
      <c r="D48" s="314">
        <v>3803.7</v>
      </c>
      <c r="E48" s="384" t="e">
        <f>#REF!</f>
        <v>#REF!</v>
      </c>
      <c r="F48" s="377">
        <f>Эсбыт!F51</f>
        <v>52.2276</v>
      </c>
      <c r="G48" s="384" t="e">
        <f>Февраль!#REF!</f>
        <v>#REF!</v>
      </c>
      <c r="H48" s="377">
        <f>Эсбыт!H51</f>
        <v>118.2229</v>
      </c>
      <c r="I48" s="384" t="e">
        <f>#REF!</f>
        <v>#REF!</v>
      </c>
      <c r="J48" s="152">
        <f>Эсбыт!J51</f>
        <v>79.60279999999999</v>
      </c>
      <c r="K48" s="93" t="e">
        <f>#REF!</f>
        <v>#REF!</v>
      </c>
      <c r="L48" s="213">
        <f>Эсбыт!L51</f>
        <v>57.9293</v>
      </c>
      <c r="M48" s="397" t="e">
        <f>#REF!</f>
        <v>#REF!</v>
      </c>
      <c r="N48" s="211">
        <f>Эсбыт!N51</f>
        <v>8.861299999999996</v>
      </c>
      <c r="O48" s="93" t="e">
        <f>#REF!</f>
        <v>#REF!</v>
      </c>
      <c r="P48" s="232">
        <f>Эсбыт!P51</f>
        <v>11.458719999999994</v>
      </c>
      <c r="Q48" s="397" t="e">
        <f>#REF!</f>
        <v>#REF!</v>
      </c>
      <c r="R48" s="211">
        <f>Эсбыт!R51</f>
        <v>2.15282</v>
      </c>
      <c r="S48" s="93" t="e">
        <f>#REF!</f>
        <v>#REF!</v>
      </c>
      <c r="T48" s="211">
        <f>Эсбыт!T51</f>
        <v>8.447819999999998</v>
      </c>
      <c r="U48" s="95"/>
      <c r="V48" s="103"/>
      <c r="W48" s="89"/>
      <c r="X48" s="108"/>
      <c r="Y48" s="97"/>
      <c r="Z48" s="62"/>
      <c r="AA48" s="97"/>
      <c r="AB48" s="62"/>
      <c r="AC48" s="39" t="e">
        <f t="shared" si="2"/>
        <v>#REF!</v>
      </c>
      <c r="AD48" s="38">
        <f t="shared" si="3"/>
        <v>338.90325999999993</v>
      </c>
      <c r="AE48" s="41" t="e">
        <f t="shared" si="4"/>
        <v>#REF!</v>
      </c>
      <c r="AF48" s="20"/>
      <c r="AG48" s="20"/>
      <c r="AH48" s="20"/>
      <c r="AI48" s="20"/>
      <c r="AJ48" s="20"/>
      <c r="AK48" s="22"/>
      <c r="AL48" s="20"/>
    </row>
    <row r="49" spans="2:38" ht="12.75" customHeight="1">
      <c r="B49" s="358">
        <f t="shared" si="1"/>
        <v>43</v>
      </c>
      <c r="C49" s="364" t="s">
        <v>15</v>
      </c>
      <c r="D49" s="312">
        <v>13733.1</v>
      </c>
      <c r="E49" s="386" t="e">
        <f>#REF!</f>
        <v>#REF!</v>
      </c>
      <c r="F49" s="379">
        <f>Эсбыт!F52</f>
        <v>227.024</v>
      </c>
      <c r="G49" s="386" t="e">
        <f>Февраль!#REF!</f>
        <v>#REF!</v>
      </c>
      <c r="H49" s="379">
        <f>Эсбыт!H52</f>
        <v>279.4542</v>
      </c>
      <c r="I49" s="386" t="e">
        <f>#REF!</f>
        <v>#REF!</v>
      </c>
      <c r="J49" s="214">
        <f>Эсбыт!J52</f>
        <v>296.2799</v>
      </c>
      <c r="K49" s="94" t="e">
        <f>#REF!</f>
        <v>#REF!</v>
      </c>
      <c r="L49" s="272">
        <f>Эсбыт!L52</f>
        <v>188.8271</v>
      </c>
      <c r="M49" s="94" t="e">
        <f>#REF!</f>
        <v>#REF!</v>
      </c>
      <c r="N49" s="305">
        <f>Эсбыт!N52</f>
        <v>16.80189999999999</v>
      </c>
      <c r="O49" s="94" t="e">
        <f>#REF!</f>
        <v>#REF!</v>
      </c>
      <c r="P49" s="273">
        <f>Эсбыт!P52</f>
        <v>-4.94550000000001</v>
      </c>
      <c r="Q49" s="94" t="e">
        <f>#REF!</f>
        <v>#REF!</v>
      </c>
      <c r="R49" s="305">
        <f>Эсбыт!R52</f>
        <v>-0.5842000000000027</v>
      </c>
      <c r="S49" s="93" t="e">
        <f>#REF!</f>
        <v>#REF!</v>
      </c>
      <c r="T49" s="211">
        <f>Эсбыт!T52</f>
        <v>-3.848399999999998</v>
      </c>
      <c r="U49" s="94"/>
      <c r="V49" s="102"/>
      <c r="W49" s="90"/>
      <c r="X49" s="107"/>
      <c r="Y49" s="96"/>
      <c r="Z49" s="63"/>
      <c r="AA49" s="96"/>
      <c r="AB49" s="63"/>
      <c r="AC49" s="274" t="e">
        <f t="shared" si="2"/>
        <v>#REF!</v>
      </c>
      <c r="AD49" s="275">
        <f t="shared" si="3"/>
        <v>999.009</v>
      </c>
      <c r="AE49" s="274" t="e">
        <f t="shared" si="4"/>
        <v>#REF!</v>
      </c>
      <c r="AF49" s="20"/>
      <c r="AG49" s="20"/>
      <c r="AH49" s="20"/>
      <c r="AI49" s="20"/>
      <c r="AJ49" s="20"/>
      <c r="AK49" s="22"/>
      <c r="AL49" s="20"/>
    </row>
    <row r="50" spans="2:38" ht="12.75" customHeight="1">
      <c r="B50" s="358">
        <f t="shared" si="1"/>
        <v>44</v>
      </c>
      <c r="C50" s="367" t="s">
        <v>16</v>
      </c>
      <c r="D50" s="312">
        <v>8981.6</v>
      </c>
      <c r="E50" s="385" t="e">
        <f>#REF!</f>
        <v>#REF!</v>
      </c>
      <c r="F50" s="378">
        <f>Эсбыт!F53</f>
        <v>115.50200000000001</v>
      </c>
      <c r="G50" s="385" t="e">
        <f>Февраль!#REF!</f>
        <v>#REF!</v>
      </c>
      <c r="H50" s="378">
        <f>Эсбыт!H53</f>
        <v>263.0169</v>
      </c>
      <c r="I50" s="385" t="e">
        <f>#REF!</f>
        <v>#REF!</v>
      </c>
      <c r="J50" s="282">
        <f>Эсбыт!J53</f>
        <v>447.3652</v>
      </c>
      <c r="K50" s="293" t="e">
        <f>#REF!</f>
        <v>#REF!</v>
      </c>
      <c r="L50" s="283">
        <f>Эсбыт!L53</f>
        <v>219.72819999999996</v>
      </c>
      <c r="M50" s="293" t="e">
        <f>#REF!</f>
        <v>#REF!</v>
      </c>
      <c r="N50" s="285">
        <f>Эсбыт!N53</f>
        <v>16.418599999999998</v>
      </c>
      <c r="O50" s="293" t="e">
        <f>#REF!</f>
        <v>#REF!</v>
      </c>
      <c r="P50" s="284">
        <f>Эсбыт!P53</f>
        <v>-4.882699999999986</v>
      </c>
      <c r="Q50" s="293" t="e">
        <f>#REF!</f>
        <v>#REF!</v>
      </c>
      <c r="R50" s="285">
        <f>Эсбыт!R53</f>
        <v>4.984699999999997</v>
      </c>
      <c r="S50" s="293" t="e">
        <f>#REF!</f>
        <v>#REF!</v>
      </c>
      <c r="T50" s="285">
        <f>Эсбыт!T53</f>
        <v>4.649000000000001</v>
      </c>
      <c r="U50" s="293"/>
      <c r="V50" s="288"/>
      <c r="W50" s="289"/>
      <c r="X50" s="286"/>
      <c r="Y50" s="287"/>
      <c r="Z50" s="290"/>
      <c r="AA50" s="287"/>
      <c r="AB50" s="290"/>
      <c r="AC50" s="291" t="e">
        <f t="shared" si="2"/>
        <v>#REF!</v>
      </c>
      <c r="AD50" s="292">
        <f t="shared" si="3"/>
        <v>1066.7819</v>
      </c>
      <c r="AE50" s="291" t="e">
        <f t="shared" si="4"/>
        <v>#REF!</v>
      </c>
      <c r="AF50" s="20"/>
      <c r="AG50" s="20"/>
      <c r="AH50" s="20"/>
      <c r="AI50" s="20"/>
      <c r="AJ50" s="20"/>
      <c r="AK50" s="22"/>
      <c r="AL50" s="20"/>
    </row>
    <row r="51" spans="2:38" ht="12.75" customHeight="1">
      <c r="B51" s="358">
        <f t="shared" si="1"/>
        <v>45</v>
      </c>
      <c r="C51" s="83" t="s">
        <v>17</v>
      </c>
      <c r="D51" s="312">
        <v>4789.4</v>
      </c>
      <c r="E51" s="384" t="e">
        <f>#REF!</f>
        <v>#REF!</v>
      </c>
      <c r="F51" s="377">
        <f>Эсбыт!F54</f>
        <v>58.6084</v>
      </c>
      <c r="G51" s="384" t="e">
        <f>Февраль!#REF!</f>
        <v>#REF!</v>
      </c>
      <c r="H51" s="377">
        <f>Эсбыт!H54</f>
        <v>145.4447</v>
      </c>
      <c r="I51" s="384" t="e">
        <f>#REF!</f>
        <v>#REF!</v>
      </c>
      <c r="J51" s="152">
        <f>Эсбыт!J54</f>
        <v>100.8064</v>
      </c>
      <c r="K51" s="93" t="e">
        <f>#REF!</f>
        <v>#REF!</v>
      </c>
      <c r="L51" s="213">
        <f>Эсбыт!L54</f>
        <v>64.6233</v>
      </c>
      <c r="M51" s="397" t="e">
        <f>#REF!</f>
        <v>#REF!</v>
      </c>
      <c r="N51" s="211">
        <f>Эсбыт!N54</f>
        <v>3.9632999999999967</v>
      </c>
      <c r="O51" s="93" t="e">
        <f>#REF!</f>
        <v>#REF!</v>
      </c>
      <c r="P51" s="232">
        <f>Эсбыт!P54</f>
        <v>9.447799999999994</v>
      </c>
      <c r="Q51" s="397" t="e">
        <f>#REF!</f>
        <v>#REF!</v>
      </c>
      <c r="R51" s="211">
        <f>Эсбыт!R54</f>
        <v>2.720700000000001</v>
      </c>
      <c r="S51" s="93" t="e">
        <f>#REF!</f>
        <v>#REF!</v>
      </c>
      <c r="T51" s="211">
        <f>Эсбыт!T54</f>
        <v>1.9101</v>
      </c>
      <c r="U51" s="93"/>
      <c r="V51" s="99"/>
      <c r="W51" s="90"/>
      <c r="X51" s="105"/>
      <c r="Y51" s="86"/>
      <c r="Z51" s="62"/>
      <c r="AA51" s="86"/>
      <c r="AB51" s="62"/>
      <c r="AC51" s="41" t="e">
        <f t="shared" si="2"/>
        <v>#REF!</v>
      </c>
      <c r="AD51" s="40">
        <f t="shared" si="3"/>
        <v>387.5247</v>
      </c>
      <c r="AE51" s="41" t="e">
        <f t="shared" si="4"/>
        <v>#REF!</v>
      </c>
      <c r="AF51" s="20"/>
      <c r="AG51" s="20"/>
      <c r="AH51" s="20"/>
      <c r="AI51" s="20"/>
      <c r="AJ51" s="20"/>
      <c r="AK51" s="22"/>
      <c r="AL51" s="20"/>
    </row>
    <row r="52" spans="2:38" ht="12.75" customHeight="1">
      <c r="B52" s="358">
        <f t="shared" si="1"/>
        <v>46</v>
      </c>
      <c r="C52" s="368" t="s">
        <v>18</v>
      </c>
      <c r="D52" s="312">
        <v>5273.8</v>
      </c>
      <c r="E52" s="386" t="e">
        <f>#REF!</f>
        <v>#REF!</v>
      </c>
      <c r="F52" s="379">
        <f>Эсбыт!F55</f>
        <v>53.29540000000001</v>
      </c>
      <c r="G52" s="386" t="e">
        <f>Февраль!#REF!</f>
        <v>#REF!</v>
      </c>
      <c r="H52" s="379">
        <f>Эсбыт!H55</f>
        <v>128.995</v>
      </c>
      <c r="I52" s="386" t="e">
        <f>#REF!</f>
        <v>#REF!</v>
      </c>
      <c r="J52" s="214">
        <f>Эсбыт!J55</f>
        <v>108.6465</v>
      </c>
      <c r="K52" s="94" t="e">
        <f>#REF!</f>
        <v>#REF!</v>
      </c>
      <c r="L52" s="272">
        <f>Эсбыт!L55</f>
        <v>62.2617</v>
      </c>
      <c r="M52" s="94" t="e">
        <f>#REF!</f>
        <v>#REF!</v>
      </c>
      <c r="N52" s="305">
        <f>Эсбыт!N55</f>
        <v>-1.0561000000000007</v>
      </c>
      <c r="O52" s="94" t="e">
        <f>#REF!</f>
        <v>#REF!</v>
      </c>
      <c r="P52" s="273">
        <f>Эсбыт!P55</f>
        <v>-7.4709999999999965</v>
      </c>
      <c r="Q52" s="397" t="e">
        <f>#REF!</f>
        <v>#REF!</v>
      </c>
      <c r="R52" s="211">
        <f>Эсбыт!R55</f>
        <v>-1.9872000000000014</v>
      </c>
      <c r="S52" s="93" t="e">
        <f>#REF!</f>
        <v>#REF!</v>
      </c>
      <c r="T52" s="211">
        <f>Эсбыт!T55</f>
        <v>-12.3951</v>
      </c>
      <c r="U52" s="94"/>
      <c r="V52" s="102"/>
      <c r="W52" s="90"/>
      <c r="X52" s="107"/>
      <c r="Y52" s="96"/>
      <c r="Z52" s="63"/>
      <c r="AA52" s="96"/>
      <c r="AB52" s="63"/>
      <c r="AC52" s="274" t="e">
        <f t="shared" si="2"/>
        <v>#REF!</v>
      </c>
      <c r="AD52" s="275">
        <f t="shared" si="3"/>
        <v>330.28920000000005</v>
      </c>
      <c r="AE52" s="274" t="e">
        <f t="shared" si="4"/>
        <v>#REF!</v>
      </c>
      <c r="AF52" s="20"/>
      <c r="AG52" s="20"/>
      <c r="AH52" s="20"/>
      <c r="AI52" s="20"/>
      <c r="AJ52" s="20"/>
      <c r="AK52" s="22"/>
      <c r="AL52" s="23"/>
    </row>
    <row r="53" spans="2:38" ht="12.75" customHeight="1">
      <c r="B53" s="358">
        <f t="shared" si="1"/>
        <v>47</v>
      </c>
      <c r="C53" s="83" t="s">
        <v>19</v>
      </c>
      <c r="D53" s="312">
        <v>11125.8</v>
      </c>
      <c r="E53" s="384" t="e">
        <f>#REF!</f>
        <v>#REF!</v>
      </c>
      <c r="F53" s="377">
        <f>Эсбыт!F56</f>
        <v>143.4065</v>
      </c>
      <c r="G53" s="384" t="e">
        <f>Февраль!#REF!</f>
        <v>#REF!</v>
      </c>
      <c r="H53" s="377">
        <f>Эсбыт!H56</f>
        <v>162.67629999999997</v>
      </c>
      <c r="I53" s="384" t="e">
        <f>#REF!</f>
        <v>#REF!</v>
      </c>
      <c r="J53" s="152">
        <f>Эсбыт!J56</f>
        <v>283.17359999999996</v>
      </c>
      <c r="K53" s="93" t="e">
        <f>#REF!</f>
        <v>#REF!</v>
      </c>
      <c r="L53" s="213">
        <f>Эсбыт!L56</f>
        <v>107.9454</v>
      </c>
      <c r="M53" s="397" t="e">
        <f>#REF!</f>
        <v>#REF!</v>
      </c>
      <c r="N53" s="211">
        <f>Эсбыт!N56</f>
        <v>-4.026300000000006</v>
      </c>
      <c r="O53" s="93" t="e">
        <f>#REF!</f>
        <v>#REF!</v>
      </c>
      <c r="P53" s="232">
        <f>Эсбыт!P56</f>
        <v>-17.90258000000001</v>
      </c>
      <c r="Q53" s="397" t="e">
        <f>#REF!</f>
        <v>#REF!</v>
      </c>
      <c r="R53" s="211">
        <f>Эсбыт!R56</f>
        <v>-8.907740000000006</v>
      </c>
      <c r="S53" s="93" t="e">
        <f>#REF!</f>
        <v>#REF!</v>
      </c>
      <c r="T53" s="211">
        <f>Эсбыт!T56</f>
        <v>-9.001159999999999</v>
      </c>
      <c r="U53" s="93"/>
      <c r="V53" s="99"/>
      <c r="W53" s="90"/>
      <c r="X53" s="105"/>
      <c r="Y53" s="86"/>
      <c r="Z53" s="62"/>
      <c r="AA53" s="86"/>
      <c r="AB53" s="62"/>
      <c r="AC53" s="41" t="e">
        <f t="shared" si="2"/>
        <v>#REF!</v>
      </c>
      <c r="AD53" s="40">
        <f t="shared" si="3"/>
        <v>657.36402</v>
      </c>
      <c r="AE53" s="41" t="e">
        <f t="shared" si="4"/>
        <v>#REF!</v>
      </c>
      <c r="AF53" s="20"/>
      <c r="AG53" s="20"/>
      <c r="AH53" s="20"/>
      <c r="AI53" s="20"/>
      <c r="AJ53" s="20"/>
      <c r="AK53" s="22"/>
      <c r="AL53" s="20"/>
    </row>
    <row r="54" spans="2:38" ht="12.75" customHeight="1">
      <c r="B54" s="358">
        <f t="shared" si="1"/>
        <v>48</v>
      </c>
      <c r="C54" s="83" t="s">
        <v>70</v>
      </c>
      <c r="D54" s="312">
        <v>6713.5</v>
      </c>
      <c r="E54" s="384" t="e">
        <f>#REF!</f>
        <v>#REF!</v>
      </c>
      <c r="F54" s="377">
        <f>Эсбыт!F57</f>
        <v>91.68716</v>
      </c>
      <c r="G54" s="384" t="e">
        <f>Февраль!#REF!</f>
        <v>#REF!</v>
      </c>
      <c r="H54" s="377">
        <f>Эсбыт!H57</f>
        <v>208.5648</v>
      </c>
      <c r="I54" s="384" t="e">
        <f>#REF!</f>
        <v>#REF!</v>
      </c>
      <c r="J54" s="152">
        <f>Эсбыт!J57</f>
        <v>135.49928</v>
      </c>
      <c r="K54" s="93" t="e">
        <f>#REF!</f>
        <v>#REF!</v>
      </c>
      <c r="L54" s="213">
        <f>Эсбыт!L57</f>
        <v>82.05655999999999</v>
      </c>
      <c r="M54" s="397" t="e">
        <f>#REF!</f>
        <v>#REF!</v>
      </c>
      <c r="N54" s="211">
        <f>Эсбыт!N57</f>
        <v>-26.513119999999994</v>
      </c>
      <c r="O54" s="93" t="e">
        <f>#REF!</f>
        <v>#REF!</v>
      </c>
      <c r="P54" s="232">
        <f>Эсбыт!P57</f>
        <v>21.19496</v>
      </c>
      <c r="Q54" s="397" t="e">
        <f>#REF!</f>
        <v>#REF!</v>
      </c>
      <c r="R54" s="211">
        <f>Эсбыт!R57</f>
        <v>5.578159999999999</v>
      </c>
      <c r="S54" s="93" t="e">
        <f>#REF!</f>
        <v>#REF!</v>
      </c>
      <c r="T54" s="211">
        <f>Эсбыт!T57</f>
        <v>11.608880000000003</v>
      </c>
      <c r="U54" s="93"/>
      <c r="V54" s="99"/>
      <c r="W54" s="90"/>
      <c r="X54" s="105"/>
      <c r="Y54" s="86"/>
      <c r="Z54" s="62"/>
      <c r="AA54" s="86"/>
      <c r="AB54" s="62"/>
      <c r="AC54" s="41" t="e">
        <f aca="true" t="shared" si="5" ref="AC54:AD57">AA54+Y54+W54+U54+S54+Q54+O54+M54+K54+I54+G54+E54</f>
        <v>#REF!</v>
      </c>
      <c r="AD54" s="40">
        <f t="shared" si="5"/>
        <v>529.67668</v>
      </c>
      <c r="AE54" s="41" t="e">
        <f>AD54-AC54</f>
        <v>#REF!</v>
      </c>
      <c r="AF54" s="20"/>
      <c r="AG54" s="20"/>
      <c r="AH54" s="20"/>
      <c r="AI54" s="20"/>
      <c r="AJ54" s="20"/>
      <c r="AK54" s="22"/>
      <c r="AL54" s="23"/>
    </row>
    <row r="55" spans="2:38" ht="12.75" customHeight="1">
      <c r="B55" s="360">
        <f t="shared" si="1"/>
        <v>49</v>
      </c>
      <c r="C55" s="367" t="s">
        <v>135</v>
      </c>
      <c r="D55" s="313">
        <v>6718.7</v>
      </c>
      <c r="E55" s="294" t="e">
        <f>#REF!</f>
        <v>#REF!</v>
      </c>
      <c r="F55" s="297">
        <f>Эсбыт!F58</f>
        <v>105.40804</v>
      </c>
      <c r="G55" s="294" t="e">
        <f>Февраль!#REF!</f>
        <v>#REF!</v>
      </c>
      <c r="H55" s="297">
        <f>Эсбыт!H58</f>
        <v>231.8306</v>
      </c>
      <c r="I55" s="294" t="e">
        <f>#REF!</f>
        <v>#REF!</v>
      </c>
      <c r="J55" s="295">
        <f>Эсбыт!J58</f>
        <v>161.72084</v>
      </c>
      <c r="K55" s="294" t="e">
        <f>#REF!</f>
        <v>#REF!</v>
      </c>
      <c r="L55" s="296">
        <f>Эсбыт!L58</f>
        <v>103.81588</v>
      </c>
      <c r="M55" s="294" t="e">
        <f>#REF!</f>
        <v>#REF!</v>
      </c>
      <c r="N55" s="295">
        <f>Эсбыт!N58</f>
        <v>20.190760000000004</v>
      </c>
      <c r="O55" s="294" t="e">
        <f>#REF!</f>
        <v>#REF!</v>
      </c>
      <c r="P55" s="297">
        <f>Эсбыт!P58</f>
        <v>6.013600000000004</v>
      </c>
      <c r="Q55" s="293" t="e">
        <f>#REF!</f>
        <v>#REF!</v>
      </c>
      <c r="R55" s="285">
        <f>Эсбыт!R58</f>
        <v>7.50188</v>
      </c>
      <c r="S55" s="293" t="e">
        <f>#REF!</f>
        <v>#REF!</v>
      </c>
      <c r="T55" s="285">
        <f>Эсбыт!T58</f>
        <v>4.816039999999997</v>
      </c>
      <c r="U55" s="294"/>
      <c r="V55" s="300"/>
      <c r="W55" s="298"/>
      <c r="X55" s="299"/>
      <c r="Y55" s="301"/>
      <c r="Z55" s="302"/>
      <c r="AA55" s="301"/>
      <c r="AB55" s="302"/>
      <c r="AC55" s="303" t="e">
        <f t="shared" si="5"/>
        <v>#REF!</v>
      </c>
      <c r="AD55" s="304">
        <f t="shared" si="5"/>
        <v>641.29764</v>
      </c>
      <c r="AE55" s="303" t="e">
        <f>AD55-AC55</f>
        <v>#REF!</v>
      </c>
      <c r="AF55" s="20"/>
      <c r="AG55" s="20"/>
      <c r="AH55" s="20"/>
      <c r="AI55" s="20"/>
      <c r="AJ55" s="20"/>
      <c r="AK55" s="22"/>
      <c r="AL55" s="23"/>
    </row>
    <row r="56" spans="2:38" ht="12.75" customHeight="1">
      <c r="B56" s="358">
        <f t="shared" si="1"/>
        <v>50</v>
      </c>
      <c r="C56" s="365" t="s">
        <v>136</v>
      </c>
      <c r="D56" s="313">
        <v>6706.5</v>
      </c>
      <c r="E56" s="258" t="e">
        <f>#REF!</f>
        <v>#REF!</v>
      </c>
      <c r="F56" s="261">
        <f>Эсбыт!F59</f>
        <v>121.19467999999999</v>
      </c>
      <c r="G56" s="258" t="e">
        <f>Февраль!#REF!</f>
        <v>#REF!</v>
      </c>
      <c r="H56" s="261">
        <f>Эсбыт!H59</f>
        <v>200.99176</v>
      </c>
      <c r="I56" s="258" t="e">
        <f>#REF!</f>
        <v>#REF!</v>
      </c>
      <c r="J56" s="259">
        <f>Эсбыт!J59</f>
        <v>131.2102</v>
      </c>
      <c r="K56" s="258" t="e">
        <f>#REF!</f>
        <v>#REF!</v>
      </c>
      <c r="L56" s="260">
        <f>Эсбыт!L59</f>
        <v>94.80120000000001</v>
      </c>
      <c r="M56" s="258" t="e">
        <f>#REF!</f>
        <v>#REF!</v>
      </c>
      <c r="N56" s="259">
        <f>Эсбыт!N59</f>
        <v>16.446800000000003</v>
      </c>
      <c r="O56" s="258" t="e">
        <f>#REF!</f>
        <v>#REF!</v>
      </c>
      <c r="P56" s="261">
        <f>Эсбыт!P59</f>
        <v>7.555160000000001</v>
      </c>
      <c r="Q56" s="269" t="e">
        <f>#REF!</f>
        <v>#REF!</v>
      </c>
      <c r="R56" s="308">
        <f>Эсбыт!R59</f>
        <v>3.80204</v>
      </c>
      <c r="S56" s="269" t="e">
        <f>#REF!</f>
        <v>#REF!</v>
      </c>
      <c r="T56" s="308">
        <f>Эсбыт!T59</f>
        <v>4.031959999999998</v>
      </c>
      <c r="U56" s="258"/>
      <c r="V56" s="262"/>
      <c r="W56" s="263"/>
      <c r="X56" s="264"/>
      <c r="Y56" s="265"/>
      <c r="Z56" s="266"/>
      <c r="AA56" s="265"/>
      <c r="AB56" s="266"/>
      <c r="AC56" s="267" t="e">
        <f t="shared" si="5"/>
        <v>#REF!</v>
      </c>
      <c r="AD56" s="268">
        <f t="shared" si="5"/>
        <v>580.0337999999999</v>
      </c>
      <c r="AE56" s="267" t="e">
        <f>AD56-AC56</f>
        <v>#REF!</v>
      </c>
      <c r="AF56" s="20"/>
      <c r="AG56" s="20"/>
      <c r="AH56" s="20"/>
      <c r="AI56" s="20"/>
      <c r="AJ56" s="20"/>
      <c r="AK56" s="22"/>
      <c r="AL56" s="23"/>
    </row>
    <row r="57" spans="2:38" ht="12.75" customHeight="1">
      <c r="B57" s="358">
        <f t="shared" si="1"/>
        <v>51</v>
      </c>
      <c r="C57" s="368" t="s">
        <v>169</v>
      </c>
      <c r="D57" s="310">
        <v>6708.8</v>
      </c>
      <c r="E57" s="340"/>
      <c r="F57" s="343"/>
      <c r="G57" s="340"/>
      <c r="H57" s="343"/>
      <c r="I57" s="340"/>
      <c r="J57" s="341"/>
      <c r="K57" s="340"/>
      <c r="L57" s="342"/>
      <c r="M57" s="340"/>
      <c r="N57" s="341"/>
      <c r="O57" s="340"/>
      <c r="P57" s="343"/>
      <c r="Q57" s="94"/>
      <c r="R57" s="305"/>
      <c r="S57" s="93" t="e">
        <f>#REF!</f>
        <v>#REF!</v>
      </c>
      <c r="T57" s="211">
        <f>Эсбыт!T60</f>
        <v>7.979079999999999</v>
      </c>
      <c r="U57" s="340"/>
      <c r="V57" s="346"/>
      <c r="W57" s="344"/>
      <c r="X57" s="345"/>
      <c r="Y57" s="347"/>
      <c r="Z57" s="348"/>
      <c r="AA57" s="347"/>
      <c r="AB57" s="348"/>
      <c r="AC57" s="349" t="e">
        <f t="shared" si="5"/>
        <v>#REF!</v>
      </c>
      <c r="AD57" s="350">
        <f t="shared" si="5"/>
        <v>7.979079999999999</v>
      </c>
      <c r="AE57" s="349" t="e">
        <f>AD57-AC57</f>
        <v>#REF!</v>
      </c>
      <c r="AF57" s="20"/>
      <c r="AG57" s="20"/>
      <c r="AH57" s="20"/>
      <c r="AI57" s="20"/>
      <c r="AJ57" s="20"/>
      <c r="AK57" s="22"/>
      <c r="AL57" s="23"/>
    </row>
    <row r="58" spans="2:38" ht="12.75" customHeight="1">
      <c r="B58" s="358">
        <f t="shared" si="1"/>
        <v>52</v>
      </c>
      <c r="C58" s="83" t="s">
        <v>20</v>
      </c>
      <c r="D58" s="312">
        <v>11638.3</v>
      </c>
      <c r="E58" s="384" t="e">
        <f>#REF!</f>
        <v>#REF!</v>
      </c>
      <c r="F58" s="377">
        <f>Эсбыт!F61</f>
        <v>150.8924</v>
      </c>
      <c r="G58" s="384" t="e">
        <f>Февраль!#REF!</f>
        <v>#REF!</v>
      </c>
      <c r="H58" s="377">
        <f>Эсбыт!H61</f>
        <v>344.722</v>
      </c>
      <c r="I58" s="384" t="e">
        <f>#REF!</f>
        <v>#REF!</v>
      </c>
      <c r="J58" s="152">
        <f>Эсбыт!J61</f>
        <v>227.2894</v>
      </c>
      <c r="K58" s="93" t="e">
        <f>#REF!</f>
        <v>#REF!</v>
      </c>
      <c r="L58" s="213">
        <f>Эсбыт!L61</f>
        <v>145.5706</v>
      </c>
      <c r="M58" s="397" t="e">
        <f>#REF!</f>
        <v>#REF!</v>
      </c>
      <c r="N58" s="211">
        <f>Эсбыт!N61</f>
        <v>13.913699999999999</v>
      </c>
      <c r="O58" s="93" t="e">
        <f>#REF!</f>
        <v>#REF!</v>
      </c>
      <c r="P58" s="232">
        <f>Эсбыт!P61</f>
        <v>-11.195100000000004</v>
      </c>
      <c r="Q58" s="397" t="e">
        <f>#REF!</f>
        <v>#REF!</v>
      </c>
      <c r="R58" s="211">
        <f>Эсбыт!R61</f>
        <v>-2.375</v>
      </c>
      <c r="S58" s="93" t="e">
        <f>#REF!</f>
        <v>#REF!</v>
      </c>
      <c r="T58" s="211">
        <f>Эсбыт!T61</f>
        <v>-3.950800000000008</v>
      </c>
      <c r="U58" s="93"/>
      <c r="V58" s="99"/>
      <c r="W58" s="90"/>
      <c r="X58" s="105"/>
      <c r="Y58" s="86"/>
      <c r="Z58" s="62"/>
      <c r="AA58" s="86"/>
      <c r="AB58" s="62"/>
      <c r="AC58" s="41" t="e">
        <f t="shared" si="2"/>
        <v>#REF!</v>
      </c>
      <c r="AD58" s="40">
        <f t="shared" si="3"/>
        <v>864.8671999999999</v>
      </c>
      <c r="AE58" s="41" t="e">
        <f t="shared" si="4"/>
        <v>#REF!</v>
      </c>
      <c r="AF58" s="20"/>
      <c r="AG58" s="20"/>
      <c r="AH58" s="20"/>
      <c r="AI58" s="20"/>
      <c r="AJ58" s="20"/>
      <c r="AK58" s="22"/>
      <c r="AL58" s="20"/>
    </row>
    <row r="59" spans="2:38" ht="12.75" customHeight="1">
      <c r="B59" s="358">
        <f t="shared" si="1"/>
        <v>53</v>
      </c>
      <c r="C59" s="83" t="s">
        <v>21</v>
      </c>
      <c r="D59" s="312">
        <v>9185</v>
      </c>
      <c r="E59" s="384" t="e">
        <f>#REF!</f>
        <v>#REF!</v>
      </c>
      <c r="F59" s="377">
        <f>Эсбыт!F62</f>
        <v>110.68610000000001</v>
      </c>
      <c r="G59" s="384" t="e">
        <f>Февраль!#REF!</f>
        <v>#REF!</v>
      </c>
      <c r="H59" s="377">
        <f>Эсбыт!H62</f>
        <v>253.5041</v>
      </c>
      <c r="I59" s="384" t="e">
        <f>#REF!</f>
        <v>#REF!</v>
      </c>
      <c r="J59" s="152">
        <f>Эсбыт!J62</f>
        <v>172.4872</v>
      </c>
      <c r="K59" s="93" t="e">
        <f>#REF!</f>
        <v>#REF!</v>
      </c>
      <c r="L59" s="213">
        <f>Эсбыт!L62</f>
        <v>119.18</v>
      </c>
      <c r="M59" s="397" t="e">
        <f>#REF!</f>
        <v>#REF!</v>
      </c>
      <c r="N59" s="211">
        <f>Эсбыт!N62</f>
        <v>11.134500000000003</v>
      </c>
      <c r="O59" s="93" t="e">
        <f>#REF!</f>
        <v>#REF!</v>
      </c>
      <c r="P59" s="232">
        <f>Эсбыт!P62</f>
        <v>-8.9058</v>
      </c>
      <c r="Q59" s="397" t="e">
        <f>#REF!</f>
        <v>#REF!</v>
      </c>
      <c r="R59" s="211">
        <f>Эсбыт!R62</f>
        <v>-0.7704000000000022</v>
      </c>
      <c r="S59" s="93" t="e">
        <f>#REF!</f>
        <v>#REF!</v>
      </c>
      <c r="T59" s="211">
        <f>Эсбыт!T62</f>
        <v>-3.794800000000002</v>
      </c>
      <c r="U59" s="93"/>
      <c r="V59" s="99"/>
      <c r="W59" s="90"/>
      <c r="X59" s="105"/>
      <c r="Y59" s="86"/>
      <c r="Z59" s="62"/>
      <c r="AA59" s="86"/>
      <c r="AB59" s="62"/>
      <c r="AC59" s="41" t="e">
        <f t="shared" si="2"/>
        <v>#REF!</v>
      </c>
      <c r="AD59" s="40">
        <f t="shared" si="3"/>
        <v>653.5209</v>
      </c>
      <c r="AE59" s="41" t="e">
        <f t="shared" si="4"/>
        <v>#REF!</v>
      </c>
      <c r="AF59" s="20"/>
      <c r="AG59" s="20"/>
      <c r="AH59" s="20"/>
      <c r="AI59" s="20"/>
      <c r="AJ59" s="20"/>
      <c r="AK59" s="22"/>
      <c r="AL59" s="23"/>
    </row>
    <row r="60" spans="2:38" ht="12.75" customHeight="1">
      <c r="B60" s="358">
        <f t="shared" si="1"/>
        <v>54</v>
      </c>
      <c r="C60" s="83" t="s">
        <v>22</v>
      </c>
      <c r="D60" s="312">
        <v>9190.4</v>
      </c>
      <c r="E60" s="384" t="e">
        <f>#REF!</f>
        <v>#REF!</v>
      </c>
      <c r="F60" s="377">
        <f>Эсбыт!F63</f>
        <v>117.03539999999998</v>
      </c>
      <c r="G60" s="384" t="e">
        <f>Февраль!#REF!</f>
        <v>#REF!</v>
      </c>
      <c r="H60" s="377">
        <f>Эсбыт!H63</f>
        <v>253.67339999999996</v>
      </c>
      <c r="I60" s="384" t="e">
        <f>#REF!</f>
        <v>#REF!</v>
      </c>
      <c r="J60" s="152">
        <f>Эсбыт!J63</f>
        <v>173.0408</v>
      </c>
      <c r="K60" s="93" t="e">
        <f>#REF!</f>
        <v>#REF!</v>
      </c>
      <c r="L60" s="213">
        <f>Эсбыт!L63</f>
        <v>115.49499999999999</v>
      </c>
      <c r="M60" s="397" t="e">
        <f>#REF!</f>
        <v>#REF!</v>
      </c>
      <c r="N60" s="211">
        <f>Эсбыт!N63</f>
        <v>5.296700000000001</v>
      </c>
      <c r="O60" s="93" t="e">
        <f>#REF!</f>
        <v>#REF!</v>
      </c>
      <c r="P60" s="232">
        <f>Эсбыт!P63</f>
        <v>-8.969999999999999</v>
      </c>
      <c r="Q60" s="397" t="e">
        <f>#REF!</f>
        <v>#REF!</v>
      </c>
      <c r="R60" s="211">
        <f>Эсбыт!R63</f>
        <v>3.2021999999999977</v>
      </c>
      <c r="S60" s="93" t="e">
        <f>#REF!</f>
        <v>#REF!</v>
      </c>
      <c r="T60" s="211">
        <f>Эсбыт!T63</f>
        <v>6.0919000000000025</v>
      </c>
      <c r="U60" s="93"/>
      <c r="V60" s="99"/>
      <c r="W60" s="90"/>
      <c r="X60" s="105"/>
      <c r="Y60" s="86"/>
      <c r="Z60" s="62"/>
      <c r="AA60" s="86"/>
      <c r="AB60" s="62"/>
      <c r="AC60" s="41" t="e">
        <f t="shared" si="2"/>
        <v>#REF!</v>
      </c>
      <c r="AD60" s="40">
        <f t="shared" si="3"/>
        <v>664.8653999999999</v>
      </c>
      <c r="AE60" s="41" t="e">
        <f t="shared" si="4"/>
        <v>#REF!</v>
      </c>
      <c r="AF60" s="20"/>
      <c r="AG60" s="20"/>
      <c r="AH60" s="20"/>
      <c r="AI60" s="20"/>
      <c r="AJ60" s="20"/>
      <c r="AK60" s="22"/>
      <c r="AL60" s="20"/>
    </row>
    <row r="61" spans="2:38" ht="12.75" customHeight="1">
      <c r="B61" s="358">
        <f t="shared" si="1"/>
        <v>55</v>
      </c>
      <c r="C61" s="83" t="s">
        <v>23</v>
      </c>
      <c r="D61" s="312">
        <v>9187.9</v>
      </c>
      <c r="E61" s="384" t="e">
        <f>#REF!</f>
        <v>#REF!</v>
      </c>
      <c r="F61" s="377">
        <f>Эсбыт!F64</f>
        <v>89.29510000000002</v>
      </c>
      <c r="G61" s="384" t="e">
        <f>Февраль!#REF!</f>
        <v>#REF!</v>
      </c>
      <c r="H61" s="377">
        <f>Эсбыт!H64</f>
        <v>207.739</v>
      </c>
      <c r="I61" s="384" t="e">
        <f>#REF!</f>
        <v>#REF!</v>
      </c>
      <c r="J61" s="152">
        <f>Эсбыт!J64</f>
        <v>132.8187</v>
      </c>
      <c r="K61" s="93" t="e">
        <f>#REF!</f>
        <v>#REF!</v>
      </c>
      <c r="L61" s="213">
        <f>Эсбыт!L64</f>
        <v>67.8181</v>
      </c>
      <c r="M61" s="397" t="e">
        <f>#REF!</f>
        <v>#REF!</v>
      </c>
      <c r="N61" s="211">
        <f>Эсбыт!N64</f>
        <v>-5.760300000000008</v>
      </c>
      <c r="O61" s="93" t="e">
        <f>#REF!</f>
        <v>#REF!</v>
      </c>
      <c r="P61" s="232">
        <f>Эсбыт!P64</f>
        <v>-7.501300000000015</v>
      </c>
      <c r="Q61" s="397" t="e">
        <f>#REF!</f>
        <v>#REF!</v>
      </c>
      <c r="R61" s="211">
        <f>Эсбыт!R64</f>
        <v>1.571799999999996</v>
      </c>
      <c r="S61" s="93" t="e">
        <f>#REF!</f>
        <v>#REF!</v>
      </c>
      <c r="T61" s="211">
        <f>Эсбыт!T64</f>
        <v>-3.9742000000000033</v>
      </c>
      <c r="U61" s="93"/>
      <c r="V61" s="99"/>
      <c r="W61" s="90"/>
      <c r="X61" s="105"/>
      <c r="Y61" s="86"/>
      <c r="Z61" s="62"/>
      <c r="AA61" s="86"/>
      <c r="AB61" s="62"/>
      <c r="AC61" s="41" t="e">
        <f t="shared" si="2"/>
        <v>#REF!</v>
      </c>
      <c r="AD61" s="40">
        <f t="shared" si="3"/>
        <v>482.0069</v>
      </c>
      <c r="AE61" s="41" t="e">
        <f t="shared" si="4"/>
        <v>#REF!</v>
      </c>
      <c r="AF61" s="20"/>
      <c r="AG61" s="20"/>
      <c r="AH61" s="20"/>
      <c r="AI61" s="20"/>
      <c r="AJ61" s="20"/>
      <c r="AK61" s="22"/>
      <c r="AL61" s="23"/>
    </row>
    <row r="62" spans="2:38" ht="12.75" customHeight="1">
      <c r="B62" s="358">
        <f t="shared" si="1"/>
        <v>56</v>
      </c>
      <c r="C62" s="83" t="s">
        <v>24</v>
      </c>
      <c r="D62" s="312">
        <v>9187.1</v>
      </c>
      <c r="E62" s="384" t="e">
        <f>#REF!</f>
        <v>#REF!</v>
      </c>
      <c r="F62" s="377">
        <f>Эсбыт!F65</f>
        <v>104.3943</v>
      </c>
      <c r="G62" s="384" t="e">
        <f>Февраль!#REF!</f>
        <v>#REF!</v>
      </c>
      <c r="H62" s="377">
        <f>Эсбыт!H65</f>
        <v>245.8835</v>
      </c>
      <c r="I62" s="384" t="e">
        <f>#REF!</f>
        <v>#REF!</v>
      </c>
      <c r="J62" s="152">
        <f>Эсбыт!J65</f>
        <v>159.08489999999998</v>
      </c>
      <c r="K62" s="93" t="e">
        <f>#REF!</f>
        <v>#REF!</v>
      </c>
      <c r="L62" s="213">
        <f>Эсбыт!L65</f>
        <v>96.5605</v>
      </c>
      <c r="M62" s="397" t="e">
        <f>#REF!</f>
        <v>#REF!</v>
      </c>
      <c r="N62" s="211">
        <f>Эсбыт!N65</f>
        <v>-1.8225999999999942</v>
      </c>
      <c r="O62" s="93" t="e">
        <f>#REF!</f>
        <v>#REF!</v>
      </c>
      <c r="P62" s="232">
        <f>Эсбыт!P65</f>
        <v>-25.73360000000001</v>
      </c>
      <c r="Q62" s="397" t="e">
        <f>#REF!</f>
        <v>#REF!</v>
      </c>
      <c r="R62" s="211">
        <f>Эсбыт!R65</f>
        <v>-10.267300000000006</v>
      </c>
      <c r="S62" s="93" t="e">
        <f>#REF!</f>
        <v>#REF!</v>
      </c>
      <c r="T62" s="211">
        <f>Эсбыт!T65</f>
        <v>-15.4805</v>
      </c>
      <c r="U62" s="86"/>
      <c r="V62" s="99"/>
      <c r="W62" s="88"/>
      <c r="X62" s="105"/>
      <c r="Y62" s="86"/>
      <c r="Z62" s="62"/>
      <c r="AA62" s="86"/>
      <c r="AB62" s="62"/>
      <c r="AC62" s="41" t="e">
        <f t="shared" si="2"/>
        <v>#REF!</v>
      </c>
      <c r="AD62" s="40">
        <f t="shared" si="3"/>
        <v>552.6192</v>
      </c>
      <c r="AE62" s="41" t="e">
        <f t="shared" si="4"/>
        <v>#REF!</v>
      </c>
      <c r="AF62" s="20"/>
      <c r="AG62" s="20"/>
      <c r="AH62" s="20"/>
      <c r="AI62" s="20"/>
      <c r="AJ62" s="20"/>
      <c r="AK62" s="22"/>
      <c r="AL62" s="23"/>
    </row>
    <row r="63" spans="2:38" ht="12.75" customHeight="1">
      <c r="B63" s="358">
        <f t="shared" si="1"/>
        <v>57</v>
      </c>
      <c r="C63" s="83" t="s">
        <v>25</v>
      </c>
      <c r="D63" s="312">
        <v>6886.8</v>
      </c>
      <c r="E63" s="384" t="e">
        <f>#REF!</f>
        <v>#REF!</v>
      </c>
      <c r="F63" s="377">
        <f>Эсбыт!F66</f>
        <v>78.1155</v>
      </c>
      <c r="G63" s="384" t="e">
        <f>Февраль!#REF!</f>
        <v>#REF!</v>
      </c>
      <c r="H63" s="377">
        <f>Эсбыт!H66</f>
        <v>167.1101</v>
      </c>
      <c r="I63" s="384" t="e">
        <f>#REF!</f>
        <v>#REF!</v>
      </c>
      <c r="J63" s="152">
        <f>Эсбыт!J66</f>
        <v>113.1872</v>
      </c>
      <c r="K63" s="93" t="e">
        <f>#REF!</f>
        <v>#REF!</v>
      </c>
      <c r="L63" s="213">
        <f>Эсбыт!L66</f>
        <v>75.5784</v>
      </c>
      <c r="M63" s="397" t="e">
        <f>#REF!</f>
        <v>#REF!</v>
      </c>
      <c r="N63" s="211">
        <f>Эсбыт!N66</f>
        <v>16.8371</v>
      </c>
      <c r="O63" s="93" t="e">
        <f>#REF!</f>
        <v>#REF!</v>
      </c>
      <c r="P63" s="232">
        <f>Эсбыт!P66</f>
        <v>16.649459999999998</v>
      </c>
      <c r="Q63" s="397" t="e">
        <f>#REF!</f>
        <v>#REF!</v>
      </c>
      <c r="R63" s="211">
        <f>Эсбыт!R66</f>
        <v>6.30942</v>
      </c>
      <c r="S63" s="93" t="e">
        <f>#REF!</f>
        <v>#REF!</v>
      </c>
      <c r="T63" s="211">
        <f>Эсбыт!T66</f>
        <v>13.408059999999997</v>
      </c>
      <c r="U63" s="86"/>
      <c r="V63" s="99"/>
      <c r="W63" s="88"/>
      <c r="X63" s="105"/>
      <c r="Y63" s="86"/>
      <c r="Z63" s="62"/>
      <c r="AA63" s="86"/>
      <c r="AB63" s="62"/>
      <c r="AC63" s="41" t="e">
        <f t="shared" si="2"/>
        <v>#REF!</v>
      </c>
      <c r="AD63" s="40">
        <f t="shared" si="3"/>
        <v>487.19524</v>
      </c>
      <c r="AE63" s="41" t="e">
        <f t="shared" si="4"/>
        <v>#REF!</v>
      </c>
      <c r="AF63" s="20"/>
      <c r="AG63" s="20"/>
      <c r="AH63" s="20"/>
      <c r="AI63" s="20"/>
      <c r="AJ63" s="20"/>
      <c r="AK63" s="22"/>
      <c r="AL63" s="23"/>
    </row>
    <row r="64" spans="2:38" ht="12.75" customHeight="1">
      <c r="B64" s="358">
        <f t="shared" si="1"/>
        <v>58</v>
      </c>
      <c r="C64" s="369" t="s">
        <v>26</v>
      </c>
      <c r="D64" s="315">
        <v>4261.1</v>
      </c>
      <c r="E64" s="387" t="e">
        <f>#REF!</f>
        <v>#REF!</v>
      </c>
      <c r="F64" s="380">
        <f>Эсбыт!F67</f>
        <v>48.985200000000006</v>
      </c>
      <c r="G64" s="384" t="e">
        <f>Февраль!#REF!</f>
        <v>#REF!</v>
      </c>
      <c r="H64" s="377">
        <f>Эсбыт!H67</f>
        <v>104.9032</v>
      </c>
      <c r="I64" s="384" t="e">
        <f>#REF!</f>
        <v>#REF!</v>
      </c>
      <c r="J64" s="152">
        <f>Эсбыт!J67</f>
        <v>72.3241</v>
      </c>
      <c r="K64" s="93" t="e">
        <f>#REF!</f>
        <v>#REF!</v>
      </c>
      <c r="L64" s="213">
        <f>Эсбыт!L67</f>
        <v>71.6357</v>
      </c>
      <c r="M64" s="397" t="e">
        <f>#REF!</f>
        <v>#REF!</v>
      </c>
      <c r="N64" s="211">
        <f>Эсбыт!N67</f>
        <v>48.6542</v>
      </c>
      <c r="O64" s="93" t="e">
        <f>#REF!</f>
        <v>#REF!</v>
      </c>
      <c r="P64" s="232">
        <f>Эсбыт!P67</f>
        <v>8.780599999999996</v>
      </c>
      <c r="Q64" s="397" t="e">
        <f>#REF!</f>
        <v>#REF!</v>
      </c>
      <c r="R64" s="211">
        <f>Эсбыт!R67</f>
        <v>4.337299999999999</v>
      </c>
      <c r="S64" s="93" t="e">
        <f>#REF!</f>
        <v>#REF!</v>
      </c>
      <c r="T64" s="211">
        <f>Эсбыт!T67</f>
        <v>5.206099999999999</v>
      </c>
      <c r="U64" s="150"/>
      <c r="V64" s="149"/>
      <c r="W64" s="94"/>
      <c r="X64" s="101"/>
      <c r="Y64" s="151"/>
      <c r="Z64" s="144"/>
      <c r="AA64" s="96"/>
      <c r="AB64" s="153"/>
      <c r="AC64" s="41" t="e">
        <f t="shared" si="2"/>
        <v>#REF!</v>
      </c>
      <c r="AD64" s="154">
        <f t="shared" si="3"/>
        <v>364.8264</v>
      </c>
      <c r="AE64" s="41" t="e">
        <f t="shared" si="4"/>
        <v>#REF!</v>
      </c>
      <c r="AF64" s="22"/>
      <c r="AG64" s="20"/>
      <c r="AH64" s="20"/>
      <c r="AI64" s="20"/>
      <c r="AJ64" s="20"/>
      <c r="AK64" s="20"/>
      <c r="AL64" s="20"/>
    </row>
    <row r="65" spans="2:38" ht="12.75" customHeight="1">
      <c r="B65" s="358">
        <f t="shared" si="1"/>
        <v>59</v>
      </c>
      <c r="C65" s="368" t="s">
        <v>144</v>
      </c>
      <c r="D65" s="129">
        <v>14015.8</v>
      </c>
      <c r="E65" s="386"/>
      <c r="F65" s="379"/>
      <c r="G65" s="386" t="e">
        <f>Февраль!#REF!</f>
        <v>#REF!</v>
      </c>
      <c r="H65" s="379">
        <f>Эсбыт!H68</f>
        <v>605.2228</v>
      </c>
      <c r="I65" s="386" t="e">
        <f>#REF!</f>
        <v>#REF!</v>
      </c>
      <c r="J65" s="214">
        <f>Эсбыт!J68</f>
        <v>646.99904</v>
      </c>
      <c r="K65" s="94" t="e">
        <f>#REF!</f>
        <v>#REF!</v>
      </c>
      <c r="L65" s="305">
        <f>Эсбыт!L68</f>
        <v>423.3188</v>
      </c>
      <c r="M65" s="94" t="e">
        <f>#REF!</f>
        <v>#REF!</v>
      </c>
      <c r="N65" s="305">
        <f>Эсбыт!N68</f>
        <v>98.26584</v>
      </c>
      <c r="O65" s="94" t="e">
        <f>#REF!</f>
        <v>#REF!</v>
      </c>
      <c r="P65" s="273">
        <f>Эсбыт!P68</f>
        <v>60.70168</v>
      </c>
      <c r="Q65" s="94" t="e">
        <f>#REF!</f>
        <v>#REF!</v>
      </c>
      <c r="R65" s="305">
        <f>Эсбыт!R68</f>
        <v>51.8476</v>
      </c>
      <c r="S65" s="93" t="e">
        <f>#REF!</f>
        <v>#REF!</v>
      </c>
      <c r="T65" s="211">
        <f>Эсбыт!T68</f>
        <v>63.28420000000001</v>
      </c>
      <c r="U65" s="94"/>
      <c r="V65" s="101"/>
      <c r="W65" s="94"/>
      <c r="X65" s="101"/>
      <c r="Y65" s="88"/>
      <c r="Z65" s="306"/>
      <c r="AA65" s="96"/>
      <c r="AB65" s="356"/>
      <c r="AC65" s="274" t="e">
        <f t="shared" si="2"/>
        <v>#REF!</v>
      </c>
      <c r="AD65" s="307">
        <f t="shared" si="3"/>
        <v>1949.63996</v>
      </c>
      <c r="AE65" s="274" t="e">
        <f t="shared" si="4"/>
        <v>#REF!</v>
      </c>
      <c r="AF65" s="22"/>
      <c r="AG65" s="20"/>
      <c r="AH65" s="20"/>
      <c r="AI65" s="20"/>
      <c r="AJ65" s="20"/>
      <c r="AK65" s="20"/>
      <c r="AL65" s="20"/>
    </row>
    <row r="66" spans="2:38" ht="12.75" customHeight="1">
      <c r="B66" s="358">
        <f t="shared" si="1"/>
        <v>60</v>
      </c>
      <c r="C66" s="113" t="s">
        <v>145</v>
      </c>
      <c r="D66" s="124">
        <v>28893.1</v>
      </c>
      <c r="E66" s="384"/>
      <c r="F66" s="377"/>
      <c r="G66" s="384" t="e">
        <f>Февраль!#REF!</f>
        <v>#REF!</v>
      </c>
      <c r="H66" s="377">
        <f>Эсбыт!H69</f>
        <v>296.79856</v>
      </c>
      <c r="I66" s="384" t="e">
        <f>#REF!</f>
        <v>#REF!</v>
      </c>
      <c r="J66" s="152">
        <f>Эсбыт!J69</f>
        <v>304.05412</v>
      </c>
      <c r="K66" s="93" t="e">
        <f>#REF!</f>
        <v>#REF!</v>
      </c>
      <c r="L66" s="211">
        <f>Эсбыт!L69</f>
        <v>202.9824</v>
      </c>
      <c r="M66" s="397" t="e">
        <f>#REF!</f>
        <v>#REF!</v>
      </c>
      <c r="N66" s="211">
        <f>Эсбыт!N69</f>
        <v>43.3656</v>
      </c>
      <c r="O66" s="93" t="e">
        <f>#REF!</f>
        <v>#REF!</v>
      </c>
      <c r="P66" s="232">
        <f>Эсбыт!P69</f>
        <v>30.53228</v>
      </c>
      <c r="Q66" s="397" t="e">
        <f>#REF!</f>
        <v>#REF!</v>
      </c>
      <c r="R66" s="211">
        <f>Эсбыт!R69</f>
        <v>21.67068</v>
      </c>
      <c r="S66" s="93" t="e">
        <f>#REF!</f>
        <v>#REF!</v>
      </c>
      <c r="T66" s="211">
        <f>Эсбыт!T69</f>
        <v>24.00856</v>
      </c>
      <c r="U66" s="94"/>
      <c r="V66" s="101"/>
      <c r="W66" s="94"/>
      <c r="X66" s="101"/>
      <c r="Y66" s="96"/>
      <c r="Z66" s="357"/>
      <c r="AA66" s="96"/>
      <c r="AB66" s="153"/>
      <c r="AC66" s="41" t="e">
        <f t="shared" si="2"/>
        <v>#REF!</v>
      </c>
      <c r="AD66" s="154">
        <f t="shared" si="3"/>
        <v>923.4122</v>
      </c>
      <c r="AE66" s="41" t="e">
        <f t="shared" si="4"/>
        <v>#REF!</v>
      </c>
      <c r="AF66" s="22"/>
      <c r="AG66" s="20"/>
      <c r="AH66" s="20"/>
      <c r="AI66" s="20"/>
      <c r="AJ66" s="20"/>
      <c r="AK66" s="20"/>
      <c r="AL66" s="20"/>
    </row>
    <row r="67" spans="2:38" ht="12.75" customHeight="1">
      <c r="B67" s="358">
        <f t="shared" si="1"/>
        <v>61</v>
      </c>
      <c r="C67" s="113" t="s">
        <v>170</v>
      </c>
      <c r="D67" s="310">
        <v>12672.5</v>
      </c>
      <c r="E67" s="384"/>
      <c r="F67" s="377"/>
      <c r="G67" s="384"/>
      <c r="H67" s="377"/>
      <c r="I67" s="384"/>
      <c r="J67" s="152"/>
      <c r="K67" s="93"/>
      <c r="L67" s="211"/>
      <c r="M67" s="397"/>
      <c r="N67" s="211"/>
      <c r="O67" s="93"/>
      <c r="P67" s="232"/>
      <c r="Q67" s="397"/>
      <c r="R67" s="211"/>
      <c r="S67" s="93" t="e">
        <f>#REF!</f>
        <v>#REF!</v>
      </c>
      <c r="T67" s="211">
        <f>Эсбыт!T70</f>
        <v>12.294280000000002</v>
      </c>
      <c r="U67" s="94"/>
      <c r="V67" s="273"/>
      <c r="W67" s="94"/>
      <c r="X67" s="273"/>
      <c r="Y67" s="96"/>
      <c r="Z67" s="153"/>
      <c r="AA67" s="96"/>
      <c r="AB67" s="153"/>
      <c r="AC67" s="41" t="e">
        <f t="shared" si="2"/>
        <v>#REF!</v>
      </c>
      <c r="AD67" s="154">
        <f t="shared" si="3"/>
        <v>12.294280000000002</v>
      </c>
      <c r="AE67" s="41" t="e">
        <f t="shared" si="4"/>
        <v>#REF!</v>
      </c>
      <c r="AF67" s="22"/>
      <c r="AG67" s="20"/>
      <c r="AH67" s="20"/>
      <c r="AI67" s="20"/>
      <c r="AJ67" s="20"/>
      <c r="AK67" s="20"/>
      <c r="AL67" s="20"/>
    </row>
    <row r="68" spans="2:38" ht="12.75" customHeight="1" thickBot="1">
      <c r="B68" s="358">
        <f t="shared" si="1"/>
        <v>62</v>
      </c>
      <c r="C68" s="148" t="s">
        <v>172</v>
      </c>
      <c r="D68" s="370">
        <v>11094.5</v>
      </c>
      <c r="E68" s="388"/>
      <c r="F68" s="381"/>
      <c r="G68" s="388"/>
      <c r="H68" s="381"/>
      <c r="I68" s="388"/>
      <c r="J68" s="351"/>
      <c r="K68" s="393"/>
      <c r="L68" s="352"/>
      <c r="M68" s="398"/>
      <c r="N68" s="352"/>
      <c r="O68" s="393"/>
      <c r="P68" s="353"/>
      <c r="Q68" s="398"/>
      <c r="R68" s="352"/>
      <c r="S68" s="400" t="e">
        <f>#REF!</f>
        <v>#REF!</v>
      </c>
      <c r="T68" s="399">
        <f>Эсбыт!T71</f>
        <v>6.1952</v>
      </c>
      <c r="U68" s="401"/>
      <c r="V68" s="354"/>
      <c r="W68" s="402"/>
      <c r="X68" s="354"/>
      <c r="Y68" s="403"/>
      <c r="Z68" s="355"/>
      <c r="AA68" s="403"/>
      <c r="AB68" s="355"/>
      <c r="AC68" s="41" t="e">
        <f t="shared" si="2"/>
        <v>#REF!</v>
      </c>
      <c r="AD68" s="154">
        <f t="shared" si="3"/>
        <v>6.1952</v>
      </c>
      <c r="AE68" s="41" t="e">
        <f t="shared" si="4"/>
        <v>#REF!</v>
      </c>
      <c r="AF68" s="22"/>
      <c r="AG68" s="20"/>
      <c r="AH68" s="20"/>
      <c r="AI68" s="20"/>
      <c r="AJ68" s="20"/>
      <c r="AK68" s="20"/>
      <c r="AL68" s="20"/>
    </row>
    <row r="69" spans="2:32" ht="15.75" customHeight="1" thickBot="1">
      <c r="B69" s="495" t="s">
        <v>72</v>
      </c>
      <c r="C69" s="496"/>
      <c r="D69" s="316">
        <f aca="true" t="shared" si="6" ref="D69:R69">SUM(D7:D66)</f>
        <v>606163.3</v>
      </c>
      <c r="E69" s="157" t="e">
        <f t="shared" si="6"/>
        <v>#REF!</v>
      </c>
      <c r="F69" s="249">
        <f t="shared" si="6"/>
        <v>7202.223900000002</v>
      </c>
      <c r="G69" s="254" t="e">
        <f t="shared" si="6"/>
        <v>#REF!</v>
      </c>
      <c r="H69" s="19">
        <f t="shared" si="6"/>
        <v>15298.54554</v>
      </c>
      <c r="I69" s="255" t="e">
        <f t="shared" si="6"/>
        <v>#REF!</v>
      </c>
      <c r="J69" s="255">
        <f t="shared" si="6"/>
        <v>11776.91044</v>
      </c>
      <c r="K69" s="157" t="e">
        <f t="shared" si="6"/>
        <v>#REF!</v>
      </c>
      <c r="L69" s="249">
        <f t="shared" si="6"/>
        <v>8087.783000000001</v>
      </c>
      <c r="M69" s="157" t="e">
        <f t="shared" si="6"/>
        <v>#REF!</v>
      </c>
      <c r="N69" s="249">
        <f>SUM(N7:N66)</f>
        <v>1076.1536400000002</v>
      </c>
      <c r="O69" s="157" t="e">
        <f t="shared" si="6"/>
        <v>#REF!</v>
      </c>
      <c r="P69" s="157">
        <f t="shared" si="6"/>
        <v>504.3463199999998</v>
      </c>
      <c r="Q69" s="157" t="e">
        <f t="shared" si="6"/>
        <v>#REF!</v>
      </c>
      <c r="R69" s="157">
        <f t="shared" si="6"/>
        <v>386.0803199999999</v>
      </c>
      <c r="S69" s="157" t="e">
        <f>SUM(S7:S68)</f>
        <v>#REF!</v>
      </c>
      <c r="T69" s="256">
        <f aca="true" t="shared" si="7" ref="T69:AC69">SUM(T7:T68)</f>
        <v>402.3655799999998</v>
      </c>
      <c r="U69" s="157">
        <f t="shared" si="7"/>
        <v>0</v>
      </c>
      <c r="V69" s="157">
        <f t="shared" si="7"/>
        <v>0</v>
      </c>
      <c r="W69" s="157">
        <f t="shared" si="7"/>
        <v>0</v>
      </c>
      <c r="X69" s="157">
        <f t="shared" si="7"/>
        <v>0</v>
      </c>
      <c r="Y69" s="157">
        <f t="shared" si="7"/>
        <v>0</v>
      </c>
      <c r="Z69" s="157">
        <f t="shared" si="7"/>
        <v>0</v>
      </c>
      <c r="AA69" s="157">
        <f t="shared" si="7"/>
        <v>0</v>
      </c>
      <c r="AB69" s="157">
        <f t="shared" si="7"/>
        <v>0</v>
      </c>
      <c r="AC69" s="157" t="e">
        <f t="shared" si="7"/>
        <v>#REF!</v>
      </c>
      <c r="AD69" s="256">
        <f>SUM(AD7:AD68)</f>
        <v>44734.40873999999</v>
      </c>
      <c r="AE69" s="256" t="e">
        <f>SUM(AE7:AE68)</f>
        <v>#REF!</v>
      </c>
      <c r="AF69" s="257" t="e">
        <f>AD69-AC69</f>
        <v>#REF!</v>
      </c>
    </row>
    <row r="70" spans="2:38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2:38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2:38" ht="25.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</sheetData>
  <sheetProtection/>
  <mergeCells count="13">
    <mergeCell ref="U5:V5"/>
    <mergeCell ref="W5:X5"/>
    <mergeCell ref="Y5:Z5"/>
    <mergeCell ref="AA5:AB5"/>
    <mergeCell ref="B69:C69"/>
    <mergeCell ref="M5:N5"/>
    <mergeCell ref="O5:P5"/>
    <mergeCell ref="Q5:R5"/>
    <mergeCell ref="S5:T5"/>
    <mergeCell ref="G5:H5"/>
    <mergeCell ref="E5:F5"/>
    <mergeCell ref="I5:J5"/>
    <mergeCell ref="K5:L5"/>
  </mergeCells>
  <printOptions/>
  <pageMargins left="0.16" right="0.16" top="0.35" bottom="0.26" header="0.36" footer="0.2"/>
  <pageSetup horizontalDpi="600" verticalDpi="600" orientation="landscape" paperSize="9" scale="96" r:id="rId1"/>
  <ignoredErrors>
    <ignoredError sqref="C7:C1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AF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" sqref="D1:F16384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147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19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4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141</v>
      </c>
      <c r="H5" s="182" t="s">
        <v>154</v>
      </c>
      <c r="I5" s="183" t="s">
        <v>155</v>
      </c>
      <c r="J5" s="182" t="s">
        <v>156</v>
      </c>
      <c r="K5" s="182" t="s">
        <v>163</v>
      </c>
      <c r="L5" s="183" t="s">
        <v>164</v>
      </c>
      <c r="M5" s="182" t="s">
        <v>158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119">
        <v>1</v>
      </c>
      <c r="C6" s="117" t="s">
        <v>131</v>
      </c>
      <c r="D6" s="47" t="s">
        <v>98</v>
      </c>
      <c r="E6" s="46" t="s">
        <v>138</v>
      </c>
      <c r="F6" s="122">
        <v>6457.6</v>
      </c>
      <c r="G6" s="123">
        <v>8.27</v>
      </c>
      <c r="H6" s="193">
        <v>542</v>
      </c>
      <c r="I6" s="162">
        <f>H6*77.7/1000</f>
        <v>42.1134</v>
      </c>
      <c r="J6" s="162"/>
      <c r="K6" s="162"/>
      <c r="L6" s="162"/>
      <c r="M6" s="229">
        <v>168.9</v>
      </c>
      <c r="N6" s="195">
        <f>M6-I6-J6</f>
        <v>126.7866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120">
        <f>B6+1</f>
        <v>2</v>
      </c>
      <c r="C7" s="118" t="s">
        <v>132</v>
      </c>
      <c r="D7" s="47" t="s">
        <v>98</v>
      </c>
      <c r="E7" s="52">
        <v>79</v>
      </c>
      <c r="F7" s="124">
        <v>12688.5</v>
      </c>
      <c r="G7" s="125">
        <v>7.42</v>
      </c>
      <c r="H7" s="166">
        <v>1155</v>
      </c>
      <c r="I7" s="162">
        <f>H7*77.7/1000</f>
        <v>89.7435</v>
      </c>
      <c r="J7" s="163"/>
      <c r="K7" s="163"/>
      <c r="L7" s="163"/>
      <c r="M7" s="175">
        <v>332.13</v>
      </c>
      <c r="N7" s="231">
        <f>M7-I7-J7</f>
        <v>242.3865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120">
        <f aca="true" t="shared" si="0" ref="B8:B64">B7+1</f>
        <v>3</v>
      </c>
      <c r="C8" s="118" t="s">
        <v>133</v>
      </c>
      <c r="D8" s="64" t="s">
        <v>94</v>
      </c>
      <c r="E8" s="52" t="s">
        <v>137</v>
      </c>
      <c r="F8" s="124">
        <v>11181.7</v>
      </c>
      <c r="G8" s="137">
        <v>7.6</v>
      </c>
      <c r="H8" s="166">
        <v>574</v>
      </c>
      <c r="I8" s="163"/>
      <c r="J8" s="163">
        <f>H8*60.12/1000</f>
        <v>34.50888</v>
      </c>
      <c r="K8" s="163"/>
      <c r="L8" s="163"/>
      <c r="M8" s="175">
        <v>241.07</v>
      </c>
      <c r="N8" s="231">
        <f aca="true" t="shared" si="1" ref="N8:N64">M8-I8-J8</f>
        <v>206.56112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120">
        <f t="shared" si="0"/>
        <v>4</v>
      </c>
      <c r="C9" s="65" t="s">
        <v>71</v>
      </c>
      <c r="D9" s="64" t="s">
        <v>94</v>
      </c>
      <c r="E9" s="64" t="s">
        <v>95</v>
      </c>
      <c r="F9" s="155">
        <v>10509.4</v>
      </c>
      <c r="G9" s="127">
        <v>7.6</v>
      </c>
      <c r="H9" s="167">
        <v>341</v>
      </c>
      <c r="I9" s="159"/>
      <c r="J9" s="163">
        <f>H9*60.12/1000</f>
        <v>20.500919999999997</v>
      </c>
      <c r="K9" s="162"/>
      <c r="L9" s="162">
        <f>K9*60.12/1000</f>
        <v>0</v>
      </c>
      <c r="M9" s="176">
        <v>236.18</v>
      </c>
      <c r="N9" s="231">
        <f>M9-I9-J9-L9</f>
        <v>215.67908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120">
        <f t="shared" si="0"/>
        <v>5</v>
      </c>
      <c r="C10" s="57" t="s">
        <v>1</v>
      </c>
      <c r="D10" s="47" t="s">
        <v>96</v>
      </c>
      <c r="E10" s="47" t="s">
        <v>97</v>
      </c>
      <c r="F10" s="155">
        <v>9045.5</v>
      </c>
      <c r="G10" s="128">
        <v>5.88</v>
      </c>
      <c r="H10" s="167">
        <v>516</v>
      </c>
      <c r="I10" s="162">
        <f>H10*77.7/1000</f>
        <v>40.0932</v>
      </c>
      <c r="J10" s="159"/>
      <c r="K10" s="159"/>
      <c r="L10" s="159"/>
      <c r="M10" s="177">
        <v>184.59</v>
      </c>
      <c r="N10" s="231">
        <f t="shared" si="1"/>
        <v>144.4968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120">
        <f t="shared" si="0"/>
        <v>6</v>
      </c>
      <c r="C11" s="58" t="s">
        <v>107</v>
      </c>
      <c r="D11" s="47" t="s">
        <v>108</v>
      </c>
      <c r="E11" s="47">
        <v>45</v>
      </c>
      <c r="F11" s="129">
        <v>7179.6</v>
      </c>
      <c r="G11" s="130">
        <v>6.11</v>
      </c>
      <c r="H11" s="211">
        <v>256</v>
      </c>
      <c r="I11" s="162">
        <f>H11*77.7/1000</f>
        <v>19.8912</v>
      </c>
      <c r="J11" s="164"/>
      <c r="K11" s="164"/>
      <c r="L11" s="164"/>
      <c r="M11" s="175">
        <v>162.17</v>
      </c>
      <c r="N11" s="231">
        <f t="shared" si="1"/>
        <v>142.2788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120">
        <f t="shared" si="0"/>
        <v>7</v>
      </c>
      <c r="C12" s="58" t="s">
        <v>109</v>
      </c>
      <c r="D12" s="47" t="s">
        <v>108</v>
      </c>
      <c r="E12" s="47" t="s">
        <v>110</v>
      </c>
      <c r="F12" s="124">
        <v>7003.6</v>
      </c>
      <c r="G12" s="130">
        <v>6.11</v>
      </c>
      <c r="H12" s="211">
        <v>329</v>
      </c>
      <c r="I12" s="162">
        <f>H12*77.7/1000</f>
        <v>25.563299999999998</v>
      </c>
      <c r="J12" s="164"/>
      <c r="K12" s="164"/>
      <c r="L12" s="164"/>
      <c r="M12" s="175">
        <v>155.97</v>
      </c>
      <c r="N12" s="231">
        <f t="shared" si="1"/>
        <v>130.4067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120">
        <f t="shared" si="0"/>
        <v>8</v>
      </c>
      <c r="C13" s="58" t="s">
        <v>116</v>
      </c>
      <c r="D13" s="48" t="s">
        <v>117</v>
      </c>
      <c r="E13" s="47" t="s">
        <v>118</v>
      </c>
      <c r="F13" s="124">
        <v>6727.7</v>
      </c>
      <c r="G13" s="128">
        <v>6.04</v>
      </c>
      <c r="H13" s="168">
        <v>623</v>
      </c>
      <c r="I13" s="162">
        <f>H13*77.7/1000</f>
        <v>48.4071</v>
      </c>
      <c r="J13" s="160"/>
      <c r="K13" s="160"/>
      <c r="L13" s="160"/>
      <c r="M13" s="178">
        <v>156.88</v>
      </c>
      <c r="N13" s="231">
        <f t="shared" si="1"/>
        <v>108.4729</v>
      </c>
      <c r="O13" s="75"/>
      <c r="P13" s="3"/>
    </row>
    <row r="14" spans="2:16" ht="12.75" customHeight="1">
      <c r="B14" s="120">
        <f t="shared" si="0"/>
        <v>9</v>
      </c>
      <c r="C14" s="58" t="s">
        <v>128</v>
      </c>
      <c r="D14" s="48" t="s">
        <v>101</v>
      </c>
      <c r="E14" s="47">
        <v>40</v>
      </c>
      <c r="F14" s="124">
        <v>4726.8</v>
      </c>
      <c r="G14" s="132">
        <v>7.6</v>
      </c>
      <c r="H14" s="168">
        <v>179</v>
      </c>
      <c r="I14" s="160"/>
      <c r="J14" s="163">
        <f aca="true" t="shared" si="2" ref="J14:J28">H14*60.12/1000</f>
        <v>10.761479999999999</v>
      </c>
      <c r="K14" s="163"/>
      <c r="L14" s="163"/>
      <c r="M14" s="178">
        <v>127.47</v>
      </c>
      <c r="N14" s="231">
        <f t="shared" si="1"/>
        <v>116.70852</v>
      </c>
      <c r="O14" s="75"/>
      <c r="P14" s="3"/>
    </row>
    <row r="15" spans="2:16" ht="12.75" customHeight="1">
      <c r="B15" s="120">
        <f t="shared" si="0"/>
        <v>10</v>
      </c>
      <c r="C15" s="58" t="s">
        <v>129</v>
      </c>
      <c r="D15" s="48" t="s">
        <v>101</v>
      </c>
      <c r="E15" s="47">
        <v>42</v>
      </c>
      <c r="F15" s="124">
        <v>4730.4</v>
      </c>
      <c r="G15" s="132">
        <v>7.6</v>
      </c>
      <c r="H15" s="168">
        <v>479</v>
      </c>
      <c r="I15" s="160"/>
      <c r="J15" s="163">
        <f t="shared" si="2"/>
        <v>28.79748</v>
      </c>
      <c r="K15" s="163"/>
      <c r="L15" s="163"/>
      <c r="M15" s="178">
        <v>131.56</v>
      </c>
      <c r="N15" s="231">
        <f t="shared" si="1"/>
        <v>102.76252</v>
      </c>
      <c r="O15" s="75"/>
      <c r="P15" s="3"/>
    </row>
    <row r="16" spans="2:16" ht="12.75" customHeight="1">
      <c r="B16" s="120">
        <f t="shared" si="0"/>
        <v>11</v>
      </c>
      <c r="C16" s="58" t="s">
        <v>130</v>
      </c>
      <c r="D16" s="48" t="s">
        <v>101</v>
      </c>
      <c r="E16" s="47">
        <v>44</v>
      </c>
      <c r="F16" s="124">
        <v>4727.7</v>
      </c>
      <c r="G16" s="132">
        <v>7.6</v>
      </c>
      <c r="H16" s="168">
        <v>437</v>
      </c>
      <c r="I16" s="160"/>
      <c r="J16" s="163">
        <f t="shared" si="2"/>
        <v>26.27244</v>
      </c>
      <c r="K16" s="163"/>
      <c r="L16" s="163"/>
      <c r="M16" s="178">
        <v>127.59</v>
      </c>
      <c r="N16" s="231">
        <f t="shared" si="1"/>
        <v>101.31756</v>
      </c>
      <c r="O16" s="75"/>
      <c r="P16" s="3"/>
    </row>
    <row r="17" spans="2:16" ht="12.75" customHeight="1">
      <c r="B17" s="120">
        <f t="shared" si="0"/>
        <v>12</v>
      </c>
      <c r="C17" s="58" t="s">
        <v>120</v>
      </c>
      <c r="D17" s="48" t="s">
        <v>111</v>
      </c>
      <c r="E17" s="47">
        <v>11</v>
      </c>
      <c r="F17" s="124">
        <v>10656</v>
      </c>
      <c r="G17" s="132">
        <v>7.6</v>
      </c>
      <c r="H17" s="168">
        <v>845</v>
      </c>
      <c r="I17" s="160"/>
      <c r="J17" s="163">
        <f t="shared" si="2"/>
        <v>50.8014</v>
      </c>
      <c r="K17" s="163"/>
      <c r="L17" s="163"/>
      <c r="M17" s="179">
        <v>300.99</v>
      </c>
      <c r="N17" s="231">
        <f t="shared" si="1"/>
        <v>250.1886</v>
      </c>
      <c r="O17" s="75"/>
      <c r="P17" s="32"/>
    </row>
    <row r="18" spans="2:28" ht="12.75" customHeight="1">
      <c r="B18" s="120">
        <f t="shared" si="0"/>
        <v>13</v>
      </c>
      <c r="C18" s="58" t="s">
        <v>61</v>
      </c>
      <c r="D18" s="48" t="s">
        <v>101</v>
      </c>
      <c r="E18" s="47">
        <v>13</v>
      </c>
      <c r="F18" s="124">
        <v>3545.7</v>
      </c>
      <c r="G18" s="138">
        <v>7.6</v>
      </c>
      <c r="H18" s="78">
        <v>338</v>
      </c>
      <c r="I18" s="165"/>
      <c r="J18" s="163">
        <f t="shared" si="2"/>
        <v>20.320559999999997</v>
      </c>
      <c r="K18" s="163"/>
      <c r="L18" s="163"/>
      <c r="M18" s="175">
        <v>96.23</v>
      </c>
      <c r="N18" s="231">
        <f t="shared" si="1"/>
        <v>75.90944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120">
        <f t="shared" si="0"/>
        <v>14</v>
      </c>
      <c r="C19" s="58" t="s">
        <v>62</v>
      </c>
      <c r="D19" s="48" t="s">
        <v>101</v>
      </c>
      <c r="E19" s="47">
        <v>15</v>
      </c>
      <c r="F19" s="124">
        <v>3547.1</v>
      </c>
      <c r="G19" s="138">
        <v>7.6</v>
      </c>
      <c r="H19" s="78">
        <v>281</v>
      </c>
      <c r="I19" s="165"/>
      <c r="J19" s="163">
        <f t="shared" si="2"/>
        <v>16.89372</v>
      </c>
      <c r="K19" s="163"/>
      <c r="L19" s="163"/>
      <c r="M19" s="175">
        <v>96.99</v>
      </c>
      <c r="N19" s="231">
        <f t="shared" si="1"/>
        <v>80.09628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120">
        <f t="shared" si="0"/>
        <v>15</v>
      </c>
      <c r="C20" s="58" t="s">
        <v>67</v>
      </c>
      <c r="D20" s="48" t="s">
        <v>101</v>
      </c>
      <c r="E20" s="47" t="s">
        <v>102</v>
      </c>
      <c r="F20" s="124">
        <v>3524.6</v>
      </c>
      <c r="G20" s="132">
        <v>7.6</v>
      </c>
      <c r="H20" s="168">
        <v>271</v>
      </c>
      <c r="I20" s="160"/>
      <c r="J20" s="163">
        <f t="shared" si="2"/>
        <v>16.29252</v>
      </c>
      <c r="K20" s="163"/>
      <c r="L20" s="163"/>
      <c r="M20" s="175">
        <v>122.42</v>
      </c>
      <c r="N20" s="231">
        <f t="shared" si="1"/>
        <v>106.12748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120">
        <f t="shared" si="0"/>
        <v>16</v>
      </c>
      <c r="C21" s="58" t="s">
        <v>126</v>
      </c>
      <c r="D21" s="48" t="s">
        <v>127</v>
      </c>
      <c r="E21" s="47">
        <v>7</v>
      </c>
      <c r="F21" s="124">
        <v>16614.4</v>
      </c>
      <c r="G21" s="132">
        <v>7.6</v>
      </c>
      <c r="H21" s="168">
        <v>896</v>
      </c>
      <c r="I21" s="160"/>
      <c r="J21" s="163">
        <f t="shared" si="2"/>
        <v>53.86752</v>
      </c>
      <c r="K21" s="163"/>
      <c r="L21" s="163"/>
      <c r="M21" s="175">
        <f>223.96+175.22</f>
        <v>399.18</v>
      </c>
      <c r="N21" s="231">
        <f t="shared" si="1"/>
        <v>345.31248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120">
        <f t="shared" si="0"/>
        <v>17</v>
      </c>
      <c r="C22" s="58" t="s">
        <v>68</v>
      </c>
      <c r="D22" s="48" t="s">
        <v>111</v>
      </c>
      <c r="E22" s="51" t="s">
        <v>112</v>
      </c>
      <c r="F22" s="124">
        <v>14948.6</v>
      </c>
      <c r="G22" s="132">
        <v>7.6</v>
      </c>
      <c r="H22" s="168">
        <v>1117</v>
      </c>
      <c r="I22" s="160"/>
      <c r="J22" s="163">
        <f t="shared" si="2"/>
        <v>67.15404</v>
      </c>
      <c r="K22" s="163"/>
      <c r="L22" s="163"/>
      <c r="M22" s="175">
        <v>362.85</v>
      </c>
      <c r="N22" s="231">
        <f t="shared" si="1"/>
        <v>295.69596</v>
      </c>
      <c r="O22" s="75"/>
      <c r="P22" s="3"/>
    </row>
    <row r="23" spans="2:16" ht="12.75" customHeight="1">
      <c r="B23" s="120">
        <f t="shared" si="0"/>
        <v>18</v>
      </c>
      <c r="C23" s="58" t="s">
        <v>148</v>
      </c>
      <c r="D23" s="48" t="s">
        <v>101</v>
      </c>
      <c r="E23" s="51" t="s">
        <v>149</v>
      </c>
      <c r="F23" s="124">
        <v>8832.7</v>
      </c>
      <c r="G23" s="132">
        <v>7.6</v>
      </c>
      <c r="H23" s="168"/>
      <c r="I23" s="160"/>
      <c r="J23" s="163"/>
      <c r="K23" s="163"/>
      <c r="L23" s="163"/>
      <c r="M23" s="175"/>
      <c r="N23" s="231"/>
      <c r="O23" s="75"/>
      <c r="P23" s="3"/>
    </row>
    <row r="24" spans="2:28" ht="12.75" customHeight="1">
      <c r="B24" s="120">
        <f t="shared" si="0"/>
        <v>19</v>
      </c>
      <c r="C24" s="58" t="s">
        <v>59</v>
      </c>
      <c r="D24" s="48" t="s">
        <v>101</v>
      </c>
      <c r="E24" s="52">
        <v>21</v>
      </c>
      <c r="F24" s="124">
        <v>19523.1</v>
      </c>
      <c r="G24" s="138">
        <v>7.6</v>
      </c>
      <c r="H24" s="78">
        <v>1504</v>
      </c>
      <c r="I24" s="165"/>
      <c r="J24" s="163">
        <f t="shared" si="2"/>
        <v>90.42048</v>
      </c>
      <c r="K24" s="163"/>
      <c r="L24" s="163"/>
      <c r="M24" s="175">
        <f>160.22+281.24</f>
        <v>441.46000000000004</v>
      </c>
      <c r="N24" s="231">
        <f t="shared" si="1"/>
        <v>351.03952000000004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120">
        <f t="shared" si="0"/>
        <v>20</v>
      </c>
      <c r="C25" s="58" t="s">
        <v>104</v>
      </c>
      <c r="D25" s="48" t="s">
        <v>101</v>
      </c>
      <c r="E25" s="52">
        <v>23</v>
      </c>
      <c r="F25" s="131">
        <v>18481.1</v>
      </c>
      <c r="G25" s="128">
        <v>5.89</v>
      </c>
      <c r="H25" s="168">
        <v>1206</v>
      </c>
      <c r="I25" s="160"/>
      <c r="J25" s="163">
        <f t="shared" si="2"/>
        <v>72.50472</v>
      </c>
      <c r="K25" s="163">
        <v>36</v>
      </c>
      <c r="L25" s="162">
        <f>K25*60.12/1000</f>
        <v>2.1643199999999996</v>
      </c>
      <c r="M25" s="180">
        <f>192.83+224.92</f>
        <v>417.75</v>
      </c>
      <c r="N25" s="231">
        <f>M25-I25-J25-L25</f>
        <v>343.08096</v>
      </c>
      <c r="O25" s="75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120">
        <f t="shared" si="0"/>
        <v>21</v>
      </c>
      <c r="C26" s="58" t="s">
        <v>105</v>
      </c>
      <c r="D26" s="48" t="s">
        <v>101</v>
      </c>
      <c r="E26" s="52">
        <v>25</v>
      </c>
      <c r="F26" s="124">
        <v>18464.4</v>
      </c>
      <c r="G26" s="132">
        <v>7.6</v>
      </c>
      <c r="H26" s="168">
        <v>1398</v>
      </c>
      <c r="I26" s="160"/>
      <c r="J26" s="163">
        <f t="shared" si="2"/>
        <v>84.04776</v>
      </c>
      <c r="K26" s="163"/>
      <c r="L26" s="163"/>
      <c r="M26" s="180">
        <f>209.55+238.14</f>
        <v>447.69</v>
      </c>
      <c r="N26" s="231">
        <f t="shared" si="1"/>
        <v>363.64224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120">
        <f t="shared" si="0"/>
        <v>22</v>
      </c>
      <c r="C27" s="58" t="s">
        <v>103</v>
      </c>
      <c r="D27" s="47" t="s">
        <v>101</v>
      </c>
      <c r="E27" s="52">
        <v>17</v>
      </c>
      <c r="F27" s="124">
        <v>30266.3</v>
      </c>
      <c r="G27" s="138">
        <v>7.6</v>
      </c>
      <c r="H27" s="78">
        <v>2033</v>
      </c>
      <c r="I27" s="165"/>
      <c r="J27" s="163">
        <f t="shared" si="2"/>
        <v>122.22395999999999</v>
      </c>
      <c r="K27" s="163"/>
      <c r="L27" s="163"/>
      <c r="M27" s="180">
        <f>171.11+340.13+159.34</f>
        <v>670.58</v>
      </c>
      <c r="N27" s="231">
        <f t="shared" si="1"/>
        <v>548.35604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6" ht="12.75" customHeight="1">
      <c r="B28" s="120">
        <f t="shared" si="0"/>
        <v>23</v>
      </c>
      <c r="C28" s="58" t="s">
        <v>65</v>
      </c>
      <c r="D28" s="47" t="s">
        <v>113</v>
      </c>
      <c r="E28" s="52">
        <v>19</v>
      </c>
      <c r="F28" s="124">
        <v>24146</v>
      </c>
      <c r="G28" s="132">
        <v>7.6</v>
      </c>
      <c r="H28" s="168">
        <v>1731</v>
      </c>
      <c r="I28" s="160"/>
      <c r="J28" s="280">
        <f t="shared" si="2"/>
        <v>104.06772</v>
      </c>
      <c r="K28" s="280">
        <v>30</v>
      </c>
      <c r="L28" s="215">
        <f>K28*60.12/1000</f>
        <v>1.8035999999999999</v>
      </c>
      <c r="M28" s="489">
        <f>263.11+255.54</f>
        <v>518.65</v>
      </c>
      <c r="N28" s="231">
        <f>M28-I28-J28-L28</f>
        <v>412.77867999999995</v>
      </c>
      <c r="O28" s="75"/>
      <c r="P28" s="3"/>
    </row>
    <row r="29" spans="2:28" ht="12.75" customHeight="1">
      <c r="B29" s="120">
        <f t="shared" si="0"/>
        <v>24</v>
      </c>
      <c r="C29" s="58" t="s">
        <v>63</v>
      </c>
      <c r="D29" s="48" t="s">
        <v>101</v>
      </c>
      <c r="E29" s="52">
        <v>29</v>
      </c>
      <c r="F29" s="124">
        <v>20258.6</v>
      </c>
      <c r="G29" s="128">
        <v>6.35</v>
      </c>
      <c r="H29" s="168">
        <f>718+858</f>
        <v>1576</v>
      </c>
      <c r="I29" s="162">
        <f aca="true" t="shared" si="3" ref="I29:I52">H29*77.7/1000</f>
        <v>122.4552</v>
      </c>
      <c r="J29" s="160"/>
      <c r="K29" s="160"/>
      <c r="L29" s="160"/>
      <c r="M29" s="178">
        <f>206.67+299.22</f>
        <v>505.89</v>
      </c>
      <c r="N29" s="231">
        <f t="shared" si="1"/>
        <v>383.4348</v>
      </c>
      <c r="O29" s="75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120">
        <f t="shared" si="0"/>
        <v>25</v>
      </c>
      <c r="C30" s="58" t="s">
        <v>55</v>
      </c>
      <c r="D30" s="47" t="s">
        <v>101</v>
      </c>
      <c r="E30" s="52">
        <v>31</v>
      </c>
      <c r="F30" s="124">
        <v>6735.1</v>
      </c>
      <c r="G30" s="132">
        <v>6.15</v>
      </c>
      <c r="H30" s="168">
        <v>545</v>
      </c>
      <c r="I30" s="162">
        <f t="shared" si="3"/>
        <v>42.3465</v>
      </c>
      <c r="J30" s="160"/>
      <c r="K30" s="160"/>
      <c r="L30" s="160"/>
      <c r="M30" s="179">
        <v>156.37</v>
      </c>
      <c r="N30" s="231">
        <f t="shared" si="1"/>
        <v>114.02350000000001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120">
        <f t="shared" si="0"/>
        <v>26</v>
      </c>
      <c r="C31" s="58" t="s">
        <v>84</v>
      </c>
      <c r="D31" s="47" t="s">
        <v>85</v>
      </c>
      <c r="E31" s="52">
        <v>27</v>
      </c>
      <c r="F31" s="124">
        <v>13989.3</v>
      </c>
      <c r="G31" s="132">
        <v>5.8</v>
      </c>
      <c r="H31" s="168">
        <f>783+620</f>
        <v>1403</v>
      </c>
      <c r="I31" s="162">
        <f t="shared" si="3"/>
        <v>109.01310000000001</v>
      </c>
      <c r="J31" s="160"/>
      <c r="K31" s="160"/>
      <c r="L31" s="160"/>
      <c r="M31" s="178">
        <f>145.47+196.42</f>
        <v>341.89</v>
      </c>
      <c r="N31" s="231">
        <f t="shared" si="1"/>
        <v>232.87689999999998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120">
        <f t="shared" si="0"/>
        <v>27</v>
      </c>
      <c r="C32" s="58" t="s">
        <v>2</v>
      </c>
      <c r="D32" s="47" t="s">
        <v>85</v>
      </c>
      <c r="E32" s="52">
        <v>29</v>
      </c>
      <c r="F32" s="124">
        <v>13695.4</v>
      </c>
      <c r="G32" s="128">
        <v>5.86</v>
      </c>
      <c r="H32" s="168">
        <v>1157</v>
      </c>
      <c r="I32" s="162">
        <f t="shared" si="3"/>
        <v>89.89890000000001</v>
      </c>
      <c r="J32" s="160"/>
      <c r="K32" s="160"/>
      <c r="L32" s="160"/>
      <c r="M32" s="179">
        <v>339.5</v>
      </c>
      <c r="N32" s="231">
        <f t="shared" si="1"/>
        <v>249.60109999999997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120">
        <f t="shared" si="0"/>
        <v>28</v>
      </c>
      <c r="C33" s="58" t="s">
        <v>3</v>
      </c>
      <c r="D33" s="47" t="s">
        <v>85</v>
      </c>
      <c r="E33" s="52">
        <v>31</v>
      </c>
      <c r="F33" s="124">
        <v>6360.3</v>
      </c>
      <c r="G33" s="128">
        <v>7.55</v>
      </c>
      <c r="H33" s="168">
        <v>528</v>
      </c>
      <c r="I33" s="162">
        <f t="shared" si="3"/>
        <v>41.0256</v>
      </c>
      <c r="J33" s="160"/>
      <c r="K33" s="160"/>
      <c r="L33" s="160"/>
      <c r="M33" s="178">
        <v>176.12</v>
      </c>
      <c r="N33" s="231">
        <f t="shared" si="1"/>
        <v>135.0944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120">
        <f t="shared" si="0"/>
        <v>29</v>
      </c>
      <c r="C34" s="58" t="s">
        <v>4</v>
      </c>
      <c r="D34" s="47" t="s">
        <v>113</v>
      </c>
      <c r="E34" s="52" t="s">
        <v>114</v>
      </c>
      <c r="F34" s="124">
        <v>12946.5</v>
      </c>
      <c r="G34" s="128">
        <v>6.27</v>
      </c>
      <c r="H34" s="168">
        <v>892</v>
      </c>
      <c r="I34" s="162">
        <f t="shared" si="3"/>
        <v>69.3084</v>
      </c>
      <c r="J34" s="160"/>
      <c r="K34" s="160"/>
      <c r="L34" s="160"/>
      <c r="M34" s="178">
        <v>298.09</v>
      </c>
      <c r="N34" s="231">
        <f t="shared" si="1"/>
        <v>228.78159999999997</v>
      </c>
      <c r="O34" s="75"/>
      <c r="P34" s="3"/>
    </row>
    <row r="35" spans="2:16" ht="12.75" customHeight="1">
      <c r="B35" s="120">
        <f t="shared" si="0"/>
        <v>30</v>
      </c>
      <c r="C35" s="58" t="s">
        <v>5</v>
      </c>
      <c r="D35" s="47" t="s">
        <v>113</v>
      </c>
      <c r="E35" s="52">
        <v>35</v>
      </c>
      <c r="F35" s="124">
        <v>12207.7</v>
      </c>
      <c r="G35" s="128">
        <v>5.8</v>
      </c>
      <c r="H35" s="168">
        <v>876</v>
      </c>
      <c r="I35" s="162">
        <f t="shared" si="3"/>
        <v>68.06519999999999</v>
      </c>
      <c r="J35" s="160"/>
      <c r="K35" s="160"/>
      <c r="L35" s="160"/>
      <c r="M35" s="178">
        <v>277.94</v>
      </c>
      <c r="N35" s="231">
        <f t="shared" si="1"/>
        <v>209.8748</v>
      </c>
      <c r="O35" s="75"/>
      <c r="P35" s="3"/>
    </row>
    <row r="36" spans="2:16" ht="12.75" customHeight="1">
      <c r="B36" s="120">
        <f t="shared" si="0"/>
        <v>31</v>
      </c>
      <c r="C36" s="58" t="s">
        <v>6</v>
      </c>
      <c r="D36" s="47" t="s">
        <v>113</v>
      </c>
      <c r="E36" s="52">
        <v>39</v>
      </c>
      <c r="F36" s="124">
        <v>4902.2</v>
      </c>
      <c r="G36" s="128">
        <v>7.65</v>
      </c>
      <c r="H36" s="168">
        <v>288</v>
      </c>
      <c r="I36" s="162">
        <f t="shared" si="3"/>
        <v>22.3776</v>
      </c>
      <c r="J36" s="160"/>
      <c r="K36" s="160"/>
      <c r="L36" s="160"/>
      <c r="M36" s="178">
        <v>110.75</v>
      </c>
      <c r="N36" s="231">
        <f t="shared" si="1"/>
        <v>88.3724</v>
      </c>
      <c r="O36" s="75"/>
      <c r="P36" s="3"/>
    </row>
    <row r="37" spans="2:28" ht="12.75" customHeight="1">
      <c r="B37" s="120">
        <f t="shared" si="0"/>
        <v>32</v>
      </c>
      <c r="C37" s="58" t="s">
        <v>64</v>
      </c>
      <c r="D37" s="47" t="s">
        <v>101</v>
      </c>
      <c r="E37" s="52">
        <v>33</v>
      </c>
      <c r="F37" s="124">
        <v>19674.8</v>
      </c>
      <c r="G37" s="132">
        <v>6.04</v>
      </c>
      <c r="H37" s="168">
        <f>817+734</f>
        <v>1551</v>
      </c>
      <c r="I37" s="162">
        <f t="shared" si="3"/>
        <v>120.51270000000001</v>
      </c>
      <c r="J37" s="160"/>
      <c r="K37" s="160"/>
      <c r="L37" s="160"/>
      <c r="M37" s="178">
        <f>221.08+229.71</f>
        <v>450.79</v>
      </c>
      <c r="N37" s="231">
        <f t="shared" si="1"/>
        <v>330.2773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120">
        <f t="shared" si="0"/>
        <v>33</v>
      </c>
      <c r="C38" s="58" t="s">
        <v>7</v>
      </c>
      <c r="D38" s="47" t="s">
        <v>101</v>
      </c>
      <c r="E38" s="52">
        <v>35</v>
      </c>
      <c r="F38" s="124">
        <v>10939</v>
      </c>
      <c r="G38" s="128">
        <v>6.65</v>
      </c>
      <c r="H38" s="168">
        <v>773</v>
      </c>
      <c r="I38" s="162">
        <f t="shared" si="3"/>
        <v>60.06210000000001</v>
      </c>
      <c r="J38" s="160"/>
      <c r="K38" s="160"/>
      <c r="L38" s="160"/>
      <c r="M38" s="178">
        <v>283.82</v>
      </c>
      <c r="N38" s="231">
        <f t="shared" si="1"/>
        <v>223.75789999999998</v>
      </c>
      <c r="O38" s="75"/>
      <c r="P38" s="3"/>
    </row>
    <row r="39" spans="2:28" ht="12.75" customHeight="1">
      <c r="B39" s="120">
        <f t="shared" si="0"/>
        <v>34</v>
      </c>
      <c r="C39" s="58" t="s">
        <v>8</v>
      </c>
      <c r="D39" s="47" t="s">
        <v>85</v>
      </c>
      <c r="E39" s="52">
        <v>33</v>
      </c>
      <c r="F39" s="124">
        <v>6730.4</v>
      </c>
      <c r="G39" s="128">
        <v>7.03</v>
      </c>
      <c r="H39" s="168">
        <v>614</v>
      </c>
      <c r="I39" s="162">
        <f t="shared" si="3"/>
        <v>47.707800000000006</v>
      </c>
      <c r="J39" s="160"/>
      <c r="K39" s="160"/>
      <c r="L39" s="160"/>
      <c r="M39" s="179">
        <v>185.26</v>
      </c>
      <c r="N39" s="231">
        <f t="shared" si="1"/>
        <v>137.55219999999997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120">
        <f t="shared" si="0"/>
        <v>35</v>
      </c>
      <c r="C40" s="58" t="s">
        <v>9</v>
      </c>
      <c r="D40" s="48" t="s">
        <v>101</v>
      </c>
      <c r="E40" s="52">
        <v>45</v>
      </c>
      <c r="F40" s="124">
        <v>6586.2</v>
      </c>
      <c r="G40" s="130">
        <v>5.93</v>
      </c>
      <c r="H40" s="211">
        <v>574</v>
      </c>
      <c r="I40" s="162">
        <f t="shared" si="3"/>
        <v>44.5998</v>
      </c>
      <c r="J40" s="164"/>
      <c r="K40" s="164"/>
      <c r="L40" s="164"/>
      <c r="M40" s="179">
        <v>165.74</v>
      </c>
      <c r="N40" s="231">
        <f t="shared" si="1"/>
        <v>121.14020000000001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120">
        <f t="shared" si="0"/>
        <v>36</v>
      </c>
      <c r="C41" s="58" t="s">
        <v>10</v>
      </c>
      <c r="D41" s="47" t="s">
        <v>113</v>
      </c>
      <c r="E41" s="52" t="s">
        <v>115</v>
      </c>
      <c r="F41" s="124">
        <v>2378.8</v>
      </c>
      <c r="G41" s="128">
        <v>7.67</v>
      </c>
      <c r="H41" s="168">
        <v>201</v>
      </c>
      <c r="I41" s="162">
        <f t="shared" si="3"/>
        <v>15.617700000000001</v>
      </c>
      <c r="J41" s="160"/>
      <c r="K41" s="160"/>
      <c r="L41" s="160"/>
      <c r="M41" s="179">
        <v>54.3</v>
      </c>
      <c r="N41" s="231">
        <f t="shared" si="1"/>
        <v>38.6823</v>
      </c>
      <c r="O41" s="75"/>
      <c r="P41" s="3"/>
    </row>
    <row r="42" spans="2:28" ht="12.75" customHeight="1">
      <c r="B42" s="120">
        <f t="shared" si="0"/>
        <v>37</v>
      </c>
      <c r="C42" s="58" t="s">
        <v>100</v>
      </c>
      <c r="D42" s="47" t="s">
        <v>98</v>
      </c>
      <c r="E42" s="52">
        <v>138</v>
      </c>
      <c r="F42" s="124">
        <v>7175.7</v>
      </c>
      <c r="G42" s="128">
        <v>8.29</v>
      </c>
      <c r="H42" s="168">
        <v>457</v>
      </c>
      <c r="I42" s="162">
        <f t="shared" si="3"/>
        <v>35.508900000000004</v>
      </c>
      <c r="J42" s="160"/>
      <c r="K42" s="160"/>
      <c r="L42" s="160"/>
      <c r="M42" s="178">
        <v>184.82</v>
      </c>
      <c r="N42" s="231">
        <f t="shared" si="1"/>
        <v>149.31109999999998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120">
        <f t="shared" si="0"/>
        <v>38</v>
      </c>
      <c r="C43" s="58" t="s">
        <v>58</v>
      </c>
      <c r="D43" s="49" t="s">
        <v>98</v>
      </c>
      <c r="E43" s="53" t="s">
        <v>99</v>
      </c>
      <c r="F43" s="131">
        <v>4256.7</v>
      </c>
      <c r="G43" s="132">
        <v>7.6</v>
      </c>
      <c r="H43" s="168">
        <v>242</v>
      </c>
      <c r="I43" s="162">
        <f t="shared" si="3"/>
        <v>18.8034</v>
      </c>
      <c r="J43" s="160"/>
      <c r="K43" s="160"/>
      <c r="L43" s="160"/>
      <c r="M43" s="175">
        <v>139.11</v>
      </c>
      <c r="N43" s="231">
        <f t="shared" si="1"/>
        <v>120.30660000000002</v>
      </c>
      <c r="O43" s="75"/>
      <c r="P43" s="3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120">
        <f t="shared" si="0"/>
        <v>39</v>
      </c>
      <c r="C44" s="58" t="s">
        <v>12</v>
      </c>
      <c r="D44" s="47" t="s">
        <v>75</v>
      </c>
      <c r="E44" s="52">
        <v>59</v>
      </c>
      <c r="F44" s="124">
        <v>5797</v>
      </c>
      <c r="G44" s="133">
        <v>8.67</v>
      </c>
      <c r="H44" s="168">
        <v>445</v>
      </c>
      <c r="I44" s="162">
        <f t="shared" si="3"/>
        <v>34.5765</v>
      </c>
      <c r="J44" s="160"/>
      <c r="K44" s="160"/>
      <c r="L44" s="160"/>
      <c r="M44" s="178">
        <v>142.91</v>
      </c>
      <c r="N44" s="231">
        <f t="shared" si="1"/>
        <v>108.33349999999999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120">
        <f t="shared" si="0"/>
        <v>40</v>
      </c>
      <c r="C45" s="58" t="s">
        <v>134</v>
      </c>
      <c r="D45" s="47" t="s">
        <v>75</v>
      </c>
      <c r="E45" s="52" t="s">
        <v>115</v>
      </c>
      <c r="F45" s="124">
        <v>5325.4</v>
      </c>
      <c r="G45" s="132">
        <v>7.6</v>
      </c>
      <c r="H45" s="168">
        <v>106</v>
      </c>
      <c r="I45" s="160"/>
      <c r="J45" s="163">
        <f>H45*60.12/1000</f>
        <v>6.372719999999999</v>
      </c>
      <c r="K45" s="163"/>
      <c r="L45" s="163"/>
      <c r="M45" s="178">
        <v>116.32</v>
      </c>
      <c r="N45" s="231">
        <f t="shared" si="1"/>
        <v>109.94727999999999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120">
        <f t="shared" si="0"/>
        <v>41</v>
      </c>
      <c r="C46" s="58" t="s">
        <v>13</v>
      </c>
      <c r="D46" s="47" t="s">
        <v>76</v>
      </c>
      <c r="E46" s="52">
        <v>5</v>
      </c>
      <c r="F46" s="124">
        <v>11675.3</v>
      </c>
      <c r="G46" s="128">
        <v>6.12</v>
      </c>
      <c r="H46" s="168">
        <v>812</v>
      </c>
      <c r="I46" s="162">
        <f t="shared" si="3"/>
        <v>63.092400000000005</v>
      </c>
      <c r="J46" s="160"/>
      <c r="K46" s="160"/>
      <c r="L46" s="160"/>
      <c r="M46" s="178">
        <v>302.96</v>
      </c>
      <c r="N46" s="231">
        <f t="shared" si="1"/>
        <v>239.86759999999998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120">
        <f t="shared" si="0"/>
        <v>42</v>
      </c>
      <c r="C47" s="58" t="s">
        <v>14</v>
      </c>
      <c r="D47" s="47" t="s">
        <v>76</v>
      </c>
      <c r="E47" s="52" t="s">
        <v>77</v>
      </c>
      <c r="F47" s="124">
        <v>3803.7</v>
      </c>
      <c r="G47" s="128">
        <v>6.84</v>
      </c>
      <c r="H47" s="168">
        <v>336</v>
      </c>
      <c r="I47" s="162">
        <f t="shared" si="3"/>
        <v>26.107200000000002</v>
      </c>
      <c r="J47" s="160"/>
      <c r="K47" s="160"/>
      <c r="L47" s="160"/>
      <c r="M47" s="178">
        <v>105.71</v>
      </c>
      <c r="N47" s="231">
        <f t="shared" si="1"/>
        <v>79.60279999999999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120">
        <f t="shared" si="0"/>
        <v>43</v>
      </c>
      <c r="C48" s="58" t="s">
        <v>15</v>
      </c>
      <c r="D48" s="47" t="s">
        <v>86</v>
      </c>
      <c r="E48" s="52" t="s">
        <v>87</v>
      </c>
      <c r="F48" s="124">
        <v>13733.1</v>
      </c>
      <c r="G48" s="132">
        <v>4.7</v>
      </c>
      <c r="H48" s="168">
        <v>1213</v>
      </c>
      <c r="I48" s="162">
        <f t="shared" si="3"/>
        <v>94.2501</v>
      </c>
      <c r="J48" s="160"/>
      <c r="K48" s="160"/>
      <c r="L48" s="160"/>
      <c r="M48" s="178">
        <v>390.53</v>
      </c>
      <c r="N48" s="231">
        <f t="shared" si="1"/>
        <v>296.2799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120">
        <f t="shared" si="0"/>
        <v>44</v>
      </c>
      <c r="C49" s="58" t="s">
        <v>90</v>
      </c>
      <c r="D49" s="47" t="s">
        <v>86</v>
      </c>
      <c r="E49" s="52" t="s">
        <v>91</v>
      </c>
      <c r="F49" s="124">
        <v>8981.6</v>
      </c>
      <c r="G49" s="132">
        <v>6.95</v>
      </c>
      <c r="H49" s="168">
        <v>724</v>
      </c>
      <c r="I49" s="162">
        <f t="shared" si="3"/>
        <v>56.2548</v>
      </c>
      <c r="J49" s="160"/>
      <c r="K49" s="160"/>
      <c r="L49" s="160"/>
      <c r="M49" s="178">
        <v>503.62</v>
      </c>
      <c r="N49" s="231">
        <f t="shared" si="1"/>
        <v>447.3652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120">
        <f t="shared" si="0"/>
        <v>45</v>
      </c>
      <c r="C50" s="58" t="s">
        <v>88</v>
      </c>
      <c r="D50" s="47" t="s">
        <v>86</v>
      </c>
      <c r="E50" s="52" t="s">
        <v>89</v>
      </c>
      <c r="F50" s="124">
        <v>4789.4</v>
      </c>
      <c r="G50" s="128">
        <v>7.35</v>
      </c>
      <c r="H50" s="168">
        <v>468</v>
      </c>
      <c r="I50" s="162">
        <f t="shared" si="3"/>
        <v>36.3636</v>
      </c>
      <c r="J50" s="163"/>
      <c r="K50" s="163"/>
      <c r="L50" s="163"/>
      <c r="M50" s="178">
        <v>137.17</v>
      </c>
      <c r="N50" s="231">
        <f t="shared" si="1"/>
        <v>100.8064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120">
        <f t="shared" si="0"/>
        <v>46</v>
      </c>
      <c r="C51" s="58" t="s">
        <v>92</v>
      </c>
      <c r="D51" s="47" t="s">
        <v>86</v>
      </c>
      <c r="E51" s="52" t="s">
        <v>93</v>
      </c>
      <c r="F51" s="124">
        <v>5273.8</v>
      </c>
      <c r="G51" s="128">
        <v>6.6</v>
      </c>
      <c r="H51" s="168">
        <v>555</v>
      </c>
      <c r="I51" s="162">
        <f t="shared" si="3"/>
        <v>43.1235</v>
      </c>
      <c r="J51" s="160"/>
      <c r="K51" s="160"/>
      <c r="L51" s="160"/>
      <c r="M51" s="178">
        <v>151.77</v>
      </c>
      <c r="N51" s="231">
        <f t="shared" si="1"/>
        <v>108.6465</v>
      </c>
      <c r="O51" s="75"/>
      <c r="P51" s="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120">
        <f t="shared" si="0"/>
        <v>47</v>
      </c>
      <c r="C52" s="58" t="s">
        <v>19</v>
      </c>
      <c r="D52" s="47" t="s">
        <v>83</v>
      </c>
      <c r="E52" s="52">
        <v>108</v>
      </c>
      <c r="F52" s="124">
        <v>11125.8</v>
      </c>
      <c r="G52" s="128">
        <v>5.78</v>
      </c>
      <c r="H52" s="168">
        <v>1132</v>
      </c>
      <c r="I52" s="162">
        <f t="shared" si="3"/>
        <v>87.9564</v>
      </c>
      <c r="J52" s="160"/>
      <c r="K52" s="160"/>
      <c r="L52" s="160"/>
      <c r="M52" s="178">
        <v>371.13</v>
      </c>
      <c r="N52" s="231">
        <f t="shared" si="1"/>
        <v>283.17359999999996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120">
        <f t="shared" si="0"/>
        <v>48</v>
      </c>
      <c r="C53" s="58" t="s">
        <v>70</v>
      </c>
      <c r="D53" s="47" t="s">
        <v>83</v>
      </c>
      <c r="E53" s="52">
        <v>120</v>
      </c>
      <c r="F53" s="124">
        <v>6713.5</v>
      </c>
      <c r="G53" s="128">
        <v>6.11</v>
      </c>
      <c r="H53" s="168">
        <v>506</v>
      </c>
      <c r="I53" s="160"/>
      <c r="J53" s="163">
        <f>H53*60.12/1000</f>
        <v>30.420719999999996</v>
      </c>
      <c r="K53" s="163"/>
      <c r="L53" s="163"/>
      <c r="M53" s="178">
        <v>165.92</v>
      </c>
      <c r="N53" s="231">
        <f t="shared" si="1"/>
        <v>135.49928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120">
        <f t="shared" si="0"/>
        <v>49</v>
      </c>
      <c r="C54" s="58" t="s">
        <v>135</v>
      </c>
      <c r="D54" s="47" t="s">
        <v>83</v>
      </c>
      <c r="E54" s="52">
        <v>124</v>
      </c>
      <c r="F54" s="124">
        <v>6718.7</v>
      </c>
      <c r="G54" s="128">
        <v>6.11</v>
      </c>
      <c r="H54" s="168">
        <v>493</v>
      </c>
      <c r="I54" s="160"/>
      <c r="J54" s="163">
        <f>H54*60.12/1000</f>
        <v>29.63916</v>
      </c>
      <c r="K54" s="163"/>
      <c r="L54" s="163"/>
      <c r="M54" s="178">
        <v>191.36</v>
      </c>
      <c r="N54" s="231">
        <f t="shared" si="1"/>
        <v>161.72084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120">
        <f t="shared" si="0"/>
        <v>50</v>
      </c>
      <c r="C55" s="58" t="s">
        <v>136</v>
      </c>
      <c r="D55" s="47" t="s">
        <v>83</v>
      </c>
      <c r="E55" s="52">
        <v>128</v>
      </c>
      <c r="F55" s="124">
        <v>6706.5</v>
      </c>
      <c r="G55" s="128">
        <v>6.11</v>
      </c>
      <c r="H55" s="168">
        <v>415</v>
      </c>
      <c r="I55" s="160"/>
      <c r="J55" s="163">
        <f>H55*60.12/1000</f>
        <v>24.9498</v>
      </c>
      <c r="K55" s="163"/>
      <c r="L55" s="163"/>
      <c r="M55" s="178">
        <v>156.16</v>
      </c>
      <c r="N55" s="231">
        <f t="shared" si="1"/>
        <v>131.2102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28" ht="12.75" customHeight="1">
      <c r="B56" s="120">
        <f t="shared" si="0"/>
        <v>51</v>
      </c>
      <c r="C56" s="58" t="s">
        <v>20</v>
      </c>
      <c r="D56" s="47" t="s">
        <v>83</v>
      </c>
      <c r="E56" s="52">
        <v>110</v>
      </c>
      <c r="F56" s="124">
        <v>11638.3</v>
      </c>
      <c r="G56" s="128">
        <v>6.56</v>
      </c>
      <c r="H56" s="168">
        <v>778</v>
      </c>
      <c r="I56" s="162">
        <f aca="true" t="shared" si="4" ref="I56:I62">H56*77.7/1000</f>
        <v>60.45060000000001</v>
      </c>
      <c r="J56" s="160"/>
      <c r="K56" s="160"/>
      <c r="L56" s="160"/>
      <c r="M56" s="178">
        <v>287.74</v>
      </c>
      <c r="N56" s="231">
        <f t="shared" si="1"/>
        <v>227.2894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3"/>
    </row>
    <row r="57" spans="2:28" ht="12.75" customHeight="1">
      <c r="B57" s="120">
        <f t="shared" si="0"/>
        <v>52</v>
      </c>
      <c r="C57" s="58" t="s">
        <v>21</v>
      </c>
      <c r="D57" s="47" t="s">
        <v>83</v>
      </c>
      <c r="E57" s="52">
        <v>114</v>
      </c>
      <c r="F57" s="124">
        <v>9185</v>
      </c>
      <c r="G57" s="128">
        <v>6.28</v>
      </c>
      <c r="H57" s="168">
        <v>764</v>
      </c>
      <c r="I57" s="162">
        <f t="shared" si="4"/>
        <v>59.3628</v>
      </c>
      <c r="J57" s="160"/>
      <c r="K57" s="160"/>
      <c r="L57" s="160"/>
      <c r="M57" s="178">
        <v>231.85</v>
      </c>
      <c r="N57" s="231">
        <f t="shared" si="1"/>
        <v>172.4872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120">
        <f t="shared" si="0"/>
        <v>53</v>
      </c>
      <c r="C58" s="58" t="s">
        <v>22</v>
      </c>
      <c r="D58" s="47" t="s">
        <v>83</v>
      </c>
      <c r="E58" s="52">
        <v>118</v>
      </c>
      <c r="F58" s="124">
        <v>9190.4</v>
      </c>
      <c r="G58" s="128">
        <v>6.26</v>
      </c>
      <c r="H58" s="168">
        <v>796</v>
      </c>
      <c r="I58" s="162">
        <f t="shared" si="4"/>
        <v>61.8492</v>
      </c>
      <c r="J58" s="160"/>
      <c r="K58" s="160"/>
      <c r="L58" s="160"/>
      <c r="M58" s="178">
        <v>234.89</v>
      </c>
      <c r="N58" s="231">
        <f t="shared" si="1"/>
        <v>173.0408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</row>
    <row r="59" spans="2:28" ht="12.75" customHeight="1">
      <c r="B59" s="120">
        <f t="shared" si="0"/>
        <v>54</v>
      </c>
      <c r="C59" s="58" t="s">
        <v>23</v>
      </c>
      <c r="D59" s="47" t="s">
        <v>83</v>
      </c>
      <c r="E59" s="52">
        <v>122</v>
      </c>
      <c r="F59" s="124">
        <v>9187.9</v>
      </c>
      <c r="G59" s="128">
        <v>5.38</v>
      </c>
      <c r="H59" s="168">
        <v>869</v>
      </c>
      <c r="I59" s="162">
        <f t="shared" si="4"/>
        <v>67.5213</v>
      </c>
      <c r="J59" s="160"/>
      <c r="K59" s="160"/>
      <c r="L59" s="160"/>
      <c r="M59" s="179">
        <v>200.34</v>
      </c>
      <c r="N59" s="231">
        <f t="shared" si="1"/>
        <v>132.8187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120">
        <f t="shared" si="0"/>
        <v>55</v>
      </c>
      <c r="C60" s="58" t="s">
        <v>24</v>
      </c>
      <c r="D60" s="47" t="s">
        <v>83</v>
      </c>
      <c r="E60" s="52">
        <v>126</v>
      </c>
      <c r="F60" s="124">
        <v>9187.1</v>
      </c>
      <c r="G60" s="128">
        <v>6.03</v>
      </c>
      <c r="H60" s="168">
        <v>863</v>
      </c>
      <c r="I60" s="162">
        <f t="shared" si="4"/>
        <v>67.05510000000001</v>
      </c>
      <c r="J60" s="160"/>
      <c r="K60" s="160"/>
      <c r="L60" s="160"/>
      <c r="M60" s="178">
        <v>226.14</v>
      </c>
      <c r="N60" s="231">
        <f t="shared" si="1"/>
        <v>159.08489999999998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0"/>
    </row>
    <row r="61" spans="2:28" ht="12.75" customHeight="1">
      <c r="B61" s="120">
        <f t="shared" si="0"/>
        <v>56</v>
      </c>
      <c r="C61" s="58" t="s">
        <v>81</v>
      </c>
      <c r="D61" s="47" t="s">
        <v>79</v>
      </c>
      <c r="E61" s="52" t="s">
        <v>82</v>
      </c>
      <c r="F61" s="124">
        <v>6886.8</v>
      </c>
      <c r="G61" s="128">
        <v>5.66</v>
      </c>
      <c r="H61" s="168">
        <v>464</v>
      </c>
      <c r="I61" s="162">
        <f t="shared" si="4"/>
        <v>36.052800000000005</v>
      </c>
      <c r="J61" s="160"/>
      <c r="K61" s="160"/>
      <c r="L61" s="160"/>
      <c r="M61" s="178">
        <v>149.24</v>
      </c>
      <c r="N61" s="231">
        <f t="shared" si="1"/>
        <v>113.1872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3"/>
    </row>
    <row r="62" spans="2:32" ht="14.25" customHeight="1" thickBot="1">
      <c r="B62" s="120">
        <f t="shared" si="0"/>
        <v>57</v>
      </c>
      <c r="C62" s="140" t="s">
        <v>78</v>
      </c>
      <c r="D62" s="141" t="s">
        <v>79</v>
      </c>
      <c r="E62" s="142" t="s">
        <v>80</v>
      </c>
      <c r="F62" s="129">
        <v>4261.1</v>
      </c>
      <c r="G62" s="143">
        <v>7.72</v>
      </c>
      <c r="H62" s="169">
        <v>367</v>
      </c>
      <c r="I62" s="162">
        <f t="shared" si="4"/>
        <v>28.515900000000002</v>
      </c>
      <c r="J62" s="173"/>
      <c r="K62" s="173"/>
      <c r="L62" s="173"/>
      <c r="M62" s="181">
        <v>100.84</v>
      </c>
      <c r="N62" s="231">
        <f t="shared" si="1"/>
        <v>72.3241</v>
      </c>
      <c r="O62" s="76"/>
      <c r="P62" s="25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0"/>
      <c r="AF62" s="1"/>
    </row>
    <row r="63" spans="2:32" ht="14.25" customHeight="1">
      <c r="B63" s="120">
        <f t="shared" si="0"/>
        <v>58</v>
      </c>
      <c r="C63" s="140" t="s">
        <v>144</v>
      </c>
      <c r="D63" s="141" t="s">
        <v>101</v>
      </c>
      <c r="E63" s="142">
        <v>32</v>
      </c>
      <c r="F63" s="124">
        <v>28893.1</v>
      </c>
      <c r="G63" s="147">
        <v>7.6</v>
      </c>
      <c r="H63" s="169">
        <v>258</v>
      </c>
      <c r="I63" s="173"/>
      <c r="J63" s="163">
        <f>H63*60.12/1000</f>
        <v>15.510959999999999</v>
      </c>
      <c r="K63" s="228"/>
      <c r="L63" s="228"/>
      <c r="M63" s="204">
        <f>366.95+295.56</f>
        <v>662.51</v>
      </c>
      <c r="N63" s="231">
        <f t="shared" si="1"/>
        <v>646.99904</v>
      </c>
      <c r="O63" s="14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 thickBot="1">
      <c r="B64" s="120">
        <f t="shared" si="0"/>
        <v>59</v>
      </c>
      <c r="C64" s="59" t="s">
        <v>145</v>
      </c>
      <c r="D64" s="50" t="s">
        <v>101</v>
      </c>
      <c r="E64" s="54">
        <v>36</v>
      </c>
      <c r="F64" s="129">
        <v>14015.8</v>
      </c>
      <c r="G64" s="146">
        <v>7.6</v>
      </c>
      <c r="H64" s="170">
        <v>49</v>
      </c>
      <c r="I64" s="174"/>
      <c r="J64" s="163">
        <f>H64*60.12/1000</f>
        <v>2.94588</v>
      </c>
      <c r="K64" s="228"/>
      <c r="L64" s="228"/>
      <c r="M64" s="192">
        <v>307</v>
      </c>
      <c r="N64" s="231">
        <f t="shared" si="1"/>
        <v>304.05412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14" ht="13.5" thickBot="1">
      <c r="B65" s="85"/>
      <c r="C65" s="10"/>
      <c r="D65" s="10"/>
      <c r="E65" s="8"/>
      <c r="F65" s="156">
        <f>SUM(F6:F64)</f>
        <v>599454.5</v>
      </c>
      <c r="G65" s="136"/>
      <c r="H65" s="9">
        <f aca="true" t="shared" si="5" ref="H65:N65">SUM(H6:H64)</f>
        <v>41141</v>
      </c>
      <c r="I65" s="10">
        <f t="shared" si="5"/>
        <v>1995.6467999999998</v>
      </c>
      <c r="J65" s="9">
        <f t="shared" si="5"/>
        <v>929.2748399999999</v>
      </c>
      <c r="K65" s="10"/>
      <c r="L65" s="9"/>
      <c r="M65" s="10">
        <f t="shared" si="5"/>
        <v>14705.799999999997</v>
      </c>
      <c r="N65" s="9">
        <f t="shared" si="5"/>
        <v>11776.91044</v>
      </c>
    </row>
    <row r="66" ht="12.75">
      <c r="F66" s="67"/>
    </row>
  </sheetData>
  <sheetProtection/>
  <mergeCells count="2">
    <mergeCell ref="C2:N2"/>
    <mergeCell ref="H4:N4"/>
  </mergeCells>
  <printOptions/>
  <pageMargins left="1.29" right="0.11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F66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H68" sqref="H68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3" spans="3:6" ht="15.75">
      <c r="C3" s="1" t="s">
        <v>143</v>
      </c>
      <c r="D3" s="1"/>
      <c r="E3" s="1"/>
      <c r="F3" s="1"/>
    </row>
    <row r="4" spans="7:29" ht="16.5" thickBot="1">
      <c r="G4" s="1"/>
      <c r="H4" s="1"/>
      <c r="I4" s="1"/>
      <c r="J4" s="1"/>
      <c r="K4" s="1"/>
      <c r="L4" s="1"/>
      <c r="M4" s="1"/>
      <c r="N4" s="1"/>
      <c r="AC4" s="6">
        <v>480</v>
      </c>
    </row>
    <row r="5" spans="2:28" ht="16.5" thickBot="1">
      <c r="B5" s="18" t="s">
        <v>47</v>
      </c>
      <c r="C5" s="18" t="s">
        <v>47</v>
      </c>
      <c r="D5" s="14"/>
      <c r="E5" s="36"/>
      <c r="F5" s="14" t="s">
        <v>46</v>
      </c>
      <c r="G5" s="14" t="s">
        <v>44</v>
      </c>
      <c r="H5" s="503" t="s">
        <v>140</v>
      </c>
      <c r="I5" s="502"/>
      <c r="J5" s="502"/>
      <c r="K5" s="502"/>
      <c r="L5" s="502"/>
      <c r="M5" s="502"/>
      <c r="N5" s="496"/>
      <c r="O5" s="70" t="s">
        <v>125</v>
      </c>
      <c r="P5" s="66" t="s">
        <v>124</v>
      </c>
      <c r="Q5" s="1"/>
      <c r="R5" s="1"/>
      <c r="S5" s="1"/>
      <c r="T5" s="1"/>
      <c r="U5" s="1"/>
      <c r="V5" s="1"/>
      <c r="W5" s="2"/>
      <c r="X5" s="1"/>
      <c r="Y5" s="1"/>
      <c r="Z5" s="1"/>
      <c r="AA5" s="1"/>
      <c r="AB5" s="1"/>
    </row>
    <row r="6" spans="2:28" ht="53.25" customHeight="1" thickBot="1">
      <c r="B6" s="44" t="s">
        <v>48</v>
      </c>
      <c r="C6" s="19" t="s">
        <v>49</v>
      </c>
      <c r="D6" s="17"/>
      <c r="E6" s="37"/>
      <c r="F6" s="17" t="s">
        <v>45</v>
      </c>
      <c r="G6" s="486"/>
      <c r="H6" s="182" t="s">
        <v>154</v>
      </c>
      <c r="I6" s="183" t="s">
        <v>155</v>
      </c>
      <c r="J6" s="182" t="s">
        <v>156</v>
      </c>
      <c r="K6" s="182" t="s">
        <v>163</v>
      </c>
      <c r="L6" s="183" t="s">
        <v>164</v>
      </c>
      <c r="M6" s="182" t="s">
        <v>160</v>
      </c>
      <c r="N6" s="182" t="s">
        <v>157</v>
      </c>
      <c r="O6" s="71" t="s">
        <v>51</v>
      </c>
      <c r="P6" s="35" t="s">
        <v>51</v>
      </c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119">
        <v>1</v>
      </c>
      <c r="C7" s="117" t="s">
        <v>131</v>
      </c>
      <c r="D7" s="47" t="s">
        <v>98</v>
      </c>
      <c r="E7" s="46" t="s">
        <v>138</v>
      </c>
      <c r="F7" s="122">
        <v>6457.6</v>
      </c>
      <c r="G7" s="490">
        <v>8.27</v>
      </c>
      <c r="H7" s="162">
        <v>585</v>
      </c>
      <c r="I7" s="193">
        <f>H7*77.7/1000</f>
        <v>45.4545</v>
      </c>
      <c r="J7" s="216"/>
      <c r="K7" s="279"/>
      <c r="L7" s="276"/>
      <c r="M7" s="219">
        <v>241.43</v>
      </c>
      <c r="N7" s="195">
        <f>M7-I7-J7</f>
        <v>195.9755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2.75">
      <c r="B8" s="120">
        <v>2</v>
      </c>
      <c r="C8" s="118" t="s">
        <v>132</v>
      </c>
      <c r="D8" s="47" t="s">
        <v>98</v>
      </c>
      <c r="E8" s="52">
        <v>79</v>
      </c>
      <c r="F8" s="124">
        <v>12688.5</v>
      </c>
      <c r="G8" s="82">
        <v>7.42</v>
      </c>
      <c r="H8" s="163">
        <v>1160</v>
      </c>
      <c r="I8" s="193">
        <f>H8*77.7/1000</f>
        <v>90.132</v>
      </c>
      <c r="J8" s="162"/>
      <c r="K8" s="276"/>
      <c r="L8" s="276"/>
      <c r="M8" s="220">
        <v>436.65</v>
      </c>
      <c r="N8" s="195">
        <f aca="true" t="shared" si="0" ref="N8:N64">M8-I8-J8</f>
        <v>346.518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3.5" thickBot="1">
      <c r="B9" s="120">
        <v>3</v>
      </c>
      <c r="C9" s="118" t="s">
        <v>133</v>
      </c>
      <c r="D9" s="64" t="s">
        <v>94</v>
      </c>
      <c r="E9" s="52" t="s">
        <v>137</v>
      </c>
      <c r="F9" s="124">
        <v>11181.7</v>
      </c>
      <c r="G9" s="163">
        <v>7.6</v>
      </c>
      <c r="H9" s="163">
        <v>681</v>
      </c>
      <c r="I9" s="193"/>
      <c r="J9" s="162">
        <f>H9*60.12/1000</f>
        <v>40.941720000000004</v>
      </c>
      <c r="K9" s="276"/>
      <c r="L9" s="276"/>
      <c r="M9" s="220">
        <v>316.59</v>
      </c>
      <c r="N9" s="195">
        <f t="shared" si="0"/>
        <v>275.64828</v>
      </c>
      <c r="O9" s="45"/>
      <c r="P9" s="35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  <c r="AB9" s="12"/>
    </row>
    <row r="10" spans="2:28" ht="12.75" customHeight="1">
      <c r="B10" s="120">
        <v>4</v>
      </c>
      <c r="C10" s="65" t="s">
        <v>71</v>
      </c>
      <c r="D10" s="64" t="s">
        <v>94</v>
      </c>
      <c r="E10" s="64" t="s">
        <v>95</v>
      </c>
      <c r="F10" s="155">
        <v>10509.4</v>
      </c>
      <c r="G10" s="159">
        <v>7.6</v>
      </c>
      <c r="H10" s="159">
        <v>270</v>
      </c>
      <c r="I10" s="193"/>
      <c r="J10" s="162">
        <f>H10*60.12/1000</f>
        <v>16.2324</v>
      </c>
      <c r="K10" s="276"/>
      <c r="L10" s="276">
        <f>K10*60.12/1000</f>
        <v>0</v>
      </c>
      <c r="M10" s="221">
        <v>314.7</v>
      </c>
      <c r="N10" s="195">
        <f>M10-I10-J10-L10</f>
        <v>298.4676</v>
      </c>
      <c r="O10" s="72"/>
      <c r="P10" s="5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0"/>
    </row>
    <row r="11" spans="2:28" ht="12.75" customHeight="1">
      <c r="B11" s="120">
        <v>5</v>
      </c>
      <c r="C11" s="57" t="s">
        <v>1</v>
      </c>
      <c r="D11" s="47" t="s">
        <v>96</v>
      </c>
      <c r="E11" s="47" t="s">
        <v>97</v>
      </c>
      <c r="F11" s="155">
        <v>9045.5</v>
      </c>
      <c r="G11" s="113">
        <v>5.88</v>
      </c>
      <c r="H11" s="159">
        <v>565</v>
      </c>
      <c r="I11" s="193">
        <f>H11*77.7/1000</f>
        <v>43.9005</v>
      </c>
      <c r="J11" s="162"/>
      <c r="K11" s="276"/>
      <c r="L11" s="276"/>
      <c r="M11" s="222">
        <v>254.76</v>
      </c>
      <c r="N11" s="195">
        <f t="shared" si="0"/>
        <v>210.8595</v>
      </c>
      <c r="O11" s="73"/>
      <c r="P11" s="6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2"/>
      <c r="AB11" s="23"/>
    </row>
    <row r="12" spans="2:28" ht="12.75" customHeight="1">
      <c r="B12" s="120">
        <v>6</v>
      </c>
      <c r="C12" s="58" t="s">
        <v>107</v>
      </c>
      <c r="D12" s="47" t="s">
        <v>108</v>
      </c>
      <c r="E12" s="47">
        <v>45</v>
      </c>
      <c r="F12" s="129">
        <v>7179.6</v>
      </c>
      <c r="G12" s="83">
        <v>6.11</v>
      </c>
      <c r="H12" s="164">
        <v>276</v>
      </c>
      <c r="I12" s="193">
        <f>H12*77.7/1000</f>
        <v>21.4452</v>
      </c>
      <c r="J12" s="162"/>
      <c r="K12" s="276"/>
      <c r="L12" s="276"/>
      <c r="M12" s="220">
        <v>244.96</v>
      </c>
      <c r="N12" s="195">
        <f t="shared" si="0"/>
        <v>223.5148</v>
      </c>
      <c r="O12" s="74"/>
      <c r="P12" s="6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2.75" customHeight="1">
      <c r="B13" s="120">
        <v>7</v>
      </c>
      <c r="C13" s="58" t="s">
        <v>109</v>
      </c>
      <c r="D13" s="47" t="s">
        <v>108</v>
      </c>
      <c r="E13" s="47" t="s">
        <v>110</v>
      </c>
      <c r="F13" s="124">
        <v>7003.6</v>
      </c>
      <c r="G13" s="83">
        <v>6.11</v>
      </c>
      <c r="H13" s="164">
        <v>348</v>
      </c>
      <c r="I13" s="193">
        <f>H13*77.7/1000</f>
        <v>27.039600000000004</v>
      </c>
      <c r="J13" s="162"/>
      <c r="K13" s="276"/>
      <c r="L13" s="276"/>
      <c r="M13" s="220">
        <v>223.81</v>
      </c>
      <c r="N13" s="195">
        <f t="shared" si="0"/>
        <v>196.7704</v>
      </c>
      <c r="O13" s="74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16" ht="12.75" customHeight="1">
      <c r="B14" s="120">
        <v>8</v>
      </c>
      <c r="C14" s="58" t="s">
        <v>116</v>
      </c>
      <c r="D14" s="48" t="s">
        <v>117</v>
      </c>
      <c r="E14" s="47" t="s">
        <v>118</v>
      </c>
      <c r="F14" s="124">
        <v>6727.7</v>
      </c>
      <c r="G14" s="113">
        <v>6.04</v>
      </c>
      <c r="H14" s="160">
        <v>681</v>
      </c>
      <c r="I14" s="193">
        <f>H14*77.7/1000</f>
        <v>52.913700000000006</v>
      </c>
      <c r="J14" s="162"/>
      <c r="K14" s="276"/>
      <c r="L14" s="276"/>
      <c r="M14" s="223">
        <v>218.13</v>
      </c>
      <c r="N14" s="195">
        <f t="shared" si="0"/>
        <v>165.2163</v>
      </c>
      <c r="O14" s="75"/>
      <c r="P14" s="3"/>
    </row>
    <row r="15" spans="2:16" ht="12.75" customHeight="1">
      <c r="B15" s="120">
        <v>9</v>
      </c>
      <c r="C15" s="58" t="s">
        <v>128</v>
      </c>
      <c r="D15" s="48" t="s">
        <v>101</v>
      </c>
      <c r="E15" s="47">
        <v>40</v>
      </c>
      <c r="F15" s="124">
        <v>4726.8</v>
      </c>
      <c r="G15" s="160">
        <v>7.6</v>
      </c>
      <c r="H15" s="160">
        <v>144</v>
      </c>
      <c r="I15" s="193"/>
      <c r="J15" s="162">
        <f aca="true" t="shared" si="1" ref="J15:J28">H15*60.12/1000</f>
        <v>8.657279999999998</v>
      </c>
      <c r="K15" s="276"/>
      <c r="L15" s="276"/>
      <c r="M15" s="223">
        <v>72.18</v>
      </c>
      <c r="N15" s="195">
        <f t="shared" si="0"/>
        <v>63.52272000000001</v>
      </c>
      <c r="O15" s="75"/>
      <c r="P15" s="3"/>
    </row>
    <row r="16" spans="2:16" ht="12.75" customHeight="1">
      <c r="B16" s="120">
        <v>10</v>
      </c>
      <c r="C16" s="58" t="s">
        <v>129</v>
      </c>
      <c r="D16" s="48" t="s">
        <v>101</v>
      </c>
      <c r="E16" s="47">
        <v>42</v>
      </c>
      <c r="F16" s="124">
        <v>4730.4</v>
      </c>
      <c r="G16" s="160">
        <v>7.6</v>
      </c>
      <c r="H16" s="160">
        <v>401</v>
      </c>
      <c r="I16" s="193"/>
      <c r="J16" s="162">
        <f t="shared" si="1"/>
        <v>24.10812</v>
      </c>
      <c r="K16" s="276"/>
      <c r="L16" s="276"/>
      <c r="M16" s="223">
        <v>181.21</v>
      </c>
      <c r="N16" s="195">
        <f t="shared" si="0"/>
        <v>157.10188</v>
      </c>
      <c r="O16" s="75"/>
      <c r="P16" s="3"/>
    </row>
    <row r="17" spans="2:16" ht="12.75" customHeight="1">
      <c r="B17" s="120">
        <v>11</v>
      </c>
      <c r="C17" s="58" t="s">
        <v>130</v>
      </c>
      <c r="D17" s="48" t="s">
        <v>101</v>
      </c>
      <c r="E17" s="47">
        <v>44</v>
      </c>
      <c r="F17" s="124">
        <v>4727.7</v>
      </c>
      <c r="G17" s="160">
        <v>7.6</v>
      </c>
      <c r="H17" s="160">
        <v>404</v>
      </c>
      <c r="I17" s="193"/>
      <c r="J17" s="162">
        <f t="shared" si="1"/>
        <v>24.28848</v>
      </c>
      <c r="K17" s="276"/>
      <c r="L17" s="276"/>
      <c r="M17" s="223">
        <v>176.03</v>
      </c>
      <c r="N17" s="195">
        <f t="shared" si="0"/>
        <v>151.74152</v>
      </c>
      <c r="O17" s="75"/>
      <c r="P17" s="3"/>
    </row>
    <row r="18" spans="2:16" ht="12.75" customHeight="1">
      <c r="B18" s="120">
        <v>12</v>
      </c>
      <c r="C18" s="58" t="s">
        <v>120</v>
      </c>
      <c r="D18" s="48" t="s">
        <v>111</v>
      </c>
      <c r="E18" s="47">
        <v>11</v>
      </c>
      <c r="F18" s="124">
        <v>10656</v>
      </c>
      <c r="G18" s="160">
        <v>7.6</v>
      </c>
      <c r="H18" s="160">
        <v>1226</v>
      </c>
      <c r="I18" s="193"/>
      <c r="J18" s="162">
        <f t="shared" si="1"/>
        <v>73.70711999999999</v>
      </c>
      <c r="K18" s="276"/>
      <c r="L18" s="276"/>
      <c r="M18" s="224">
        <v>409.3</v>
      </c>
      <c r="N18" s="195">
        <f t="shared" si="0"/>
        <v>335.59288000000004</v>
      </c>
      <c r="O18" s="75"/>
      <c r="P18" s="32"/>
    </row>
    <row r="19" spans="2:28" ht="12.75" customHeight="1">
      <c r="B19" s="120">
        <v>13</v>
      </c>
      <c r="C19" s="58" t="s">
        <v>61</v>
      </c>
      <c r="D19" s="48" t="s">
        <v>101</v>
      </c>
      <c r="E19" s="47">
        <v>13</v>
      </c>
      <c r="F19" s="124">
        <v>3545.7</v>
      </c>
      <c r="G19" s="165">
        <v>7.6</v>
      </c>
      <c r="H19" s="165">
        <v>379</v>
      </c>
      <c r="I19" s="193"/>
      <c r="J19" s="162">
        <f t="shared" si="1"/>
        <v>22.78548</v>
      </c>
      <c r="K19" s="276"/>
      <c r="L19" s="276"/>
      <c r="M19" s="220">
        <v>128.42</v>
      </c>
      <c r="N19" s="195">
        <f t="shared" si="0"/>
        <v>105.63451999999998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120">
        <v>14</v>
      </c>
      <c r="C20" s="58" t="s">
        <v>62</v>
      </c>
      <c r="D20" s="48" t="s">
        <v>101</v>
      </c>
      <c r="E20" s="47">
        <v>15</v>
      </c>
      <c r="F20" s="124">
        <v>3547.1</v>
      </c>
      <c r="G20" s="165">
        <v>7.6</v>
      </c>
      <c r="H20" s="165">
        <v>299</v>
      </c>
      <c r="I20" s="193"/>
      <c r="J20" s="162">
        <f t="shared" si="1"/>
        <v>17.97588</v>
      </c>
      <c r="K20" s="276"/>
      <c r="L20" s="276"/>
      <c r="M20" s="220">
        <v>133.58</v>
      </c>
      <c r="N20" s="195">
        <f t="shared" si="0"/>
        <v>115.60412000000001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0"/>
    </row>
    <row r="21" spans="2:28" ht="12.75" customHeight="1">
      <c r="B21" s="120">
        <v>15</v>
      </c>
      <c r="C21" s="58" t="s">
        <v>67</v>
      </c>
      <c r="D21" s="48" t="s">
        <v>101</v>
      </c>
      <c r="E21" s="47" t="s">
        <v>102</v>
      </c>
      <c r="F21" s="124">
        <v>3524.6</v>
      </c>
      <c r="G21" s="160">
        <v>7.6</v>
      </c>
      <c r="H21" s="160">
        <v>294</v>
      </c>
      <c r="I21" s="193"/>
      <c r="J21" s="162">
        <f t="shared" si="1"/>
        <v>17.675279999999997</v>
      </c>
      <c r="K21" s="276"/>
      <c r="L21" s="276"/>
      <c r="M21" s="220">
        <v>118.88</v>
      </c>
      <c r="N21" s="195">
        <f t="shared" si="0"/>
        <v>101.20472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28" ht="12.75" customHeight="1">
      <c r="B22" s="120">
        <v>16</v>
      </c>
      <c r="C22" s="58" t="s">
        <v>126</v>
      </c>
      <c r="D22" s="48" t="s">
        <v>127</v>
      </c>
      <c r="E22" s="47">
        <v>7</v>
      </c>
      <c r="F22" s="124">
        <v>16614.4</v>
      </c>
      <c r="G22" s="160">
        <v>7.6</v>
      </c>
      <c r="H22" s="160">
        <v>1075</v>
      </c>
      <c r="I22" s="193"/>
      <c r="J22" s="162">
        <f t="shared" si="1"/>
        <v>64.629</v>
      </c>
      <c r="K22" s="276"/>
      <c r="L22" s="276"/>
      <c r="M22" s="220">
        <v>542.73</v>
      </c>
      <c r="N22" s="195">
        <f t="shared" si="0"/>
        <v>478.101</v>
      </c>
      <c r="O22" s="75"/>
      <c r="P22" s="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2"/>
      <c r="AB22" s="23"/>
    </row>
    <row r="23" spans="2:16" ht="12.75" customHeight="1">
      <c r="B23" s="120">
        <v>17</v>
      </c>
      <c r="C23" s="58" t="s">
        <v>68</v>
      </c>
      <c r="D23" s="48" t="s">
        <v>111</v>
      </c>
      <c r="E23" s="51" t="s">
        <v>112</v>
      </c>
      <c r="F23" s="124">
        <v>14948.6</v>
      </c>
      <c r="G23" s="160">
        <v>7.6</v>
      </c>
      <c r="H23" s="160">
        <v>1229</v>
      </c>
      <c r="I23" s="193"/>
      <c r="J23" s="162">
        <f t="shared" si="1"/>
        <v>73.88748</v>
      </c>
      <c r="K23" s="276"/>
      <c r="L23" s="276"/>
      <c r="M23" s="220">
        <v>516.45</v>
      </c>
      <c r="N23" s="195">
        <f t="shared" si="0"/>
        <v>442.56252000000006</v>
      </c>
      <c r="O23" s="75"/>
      <c r="P23" s="3"/>
    </row>
    <row r="24" spans="2:28" ht="12.75" customHeight="1">
      <c r="B24" s="120">
        <v>18</v>
      </c>
      <c r="C24" s="58" t="s">
        <v>59</v>
      </c>
      <c r="D24" s="48" t="s">
        <v>101</v>
      </c>
      <c r="E24" s="52">
        <v>21</v>
      </c>
      <c r="F24" s="124">
        <v>19523.1</v>
      </c>
      <c r="G24" s="165">
        <v>7.6</v>
      </c>
      <c r="H24" s="165">
        <v>1617</v>
      </c>
      <c r="I24" s="193"/>
      <c r="J24" s="162">
        <f t="shared" si="1"/>
        <v>97.21404</v>
      </c>
      <c r="K24" s="276"/>
      <c r="L24" s="276"/>
      <c r="M24" s="220">
        <v>588.58</v>
      </c>
      <c r="N24" s="195">
        <f t="shared" si="0"/>
        <v>491.36596000000003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120">
        <v>19</v>
      </c>
      <c r="C25" s="58" t="s">
        <v>104</v>
      </c>
      <c r="D25" s="48" t="s">
        <v>101</v>
      </c>
      <c r="E25" s="52">
        <v>23</v>
      </c>
      <c r="F25" s="131">
        <v>18481.1</v>
      </c>
      <c r="G25" s="113">
        <v>5.89</v>
      </c>
      <c r="H25" s="160">
        <v>1343</v>
      </c>
      <c r="I25" s="193"/>
      <c r="J25" s="162">
        <f t="shared" si="1"/>
        <v>80.74116000000001</v>
      </c>
      <c r="K25" s="276">
        <v>27</v>
      </c>
      <c r="L25" s="276">
        <f>K25*60.12/1000</f>
        <v>1.62324</v>
      </c>
      <c r="M25" s="225">
        <v>593.56</v>
      </c>
      <c r="N25" s="195">
        <f>M25-I25-J25-L25</f>
        <v>511.1955999999999</v>
      </c>
      <c r="O25" s="75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120">
        <v>20</v>
      </c>
      <c r="C26" s="58" t="s">
        <v>105</v>
      </c>
      <c r="D26" s="48" t="s">
        <v>101</v>
      </c>
      <c r="E26" s="52">
        <v>25</v>
      </c>
      <c r="F26" s="124">
        <v>18464.4</v>
      </c>
      <c r="G26" s="160">
        <v>7.6</v>
      </c>
      <c r="H26" s="160">
        <v>1566</v>
      </c>
      <c r="I26" s="193"/>
      <c r="J26" s="162">
        <f t="shared" si="1"/>
        <v>94.14792</v>
      </c>
      <c r="K26" s="276"/>
      <c r="L26" s="276"/>
      <c r="M26" s="225">
        <v>589.99</v>
      </c>
      <c r="N26" s="195">
        <f t="shared" si="0"/>
        <v>495.84208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120">
        <v>21</v>
      </c>
      <c r="C27" s="58" t="s">
        <v>103</v>
      </c>
      <c r="D27" s="47" t="s">
        <v>101</v>
      </c>
      <c r="E27" s="52">
        <v>17</v>
      </c>
      <c r="F27" s="124">
        <v>30266.3</v>
      </c>
      <c r="G27" s="165">
        <v>7.6</v>
      </c>
      <c r="H27" s="160">
        <v>2391</v>
      </c>
      <c r="I27" s="193"/>
      <c r="J27" s="162">
        <f t="shared" si="1"/>
        <v>143.74692</v>
      </c>
      <c r="K27" s="276"/>
      <c r="L27" s="276"/>
      <c r="M27" s="225">
        <v>890.17</v>
      </c>
      <c r="N27" s="195">
        <f t="shared" si="0"/>
        <v>746.42308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6" ht="12.75" customHeight="1">
      <c r="B28" s="120">
        <v>22</v>
      </c>
      <c r="C28" s="58" t="s">
        <v>65</v>
      </c>
      <c r="D28" s="47" t="s">
        <v>113</v>
      </c>
      <c r="E28" s="52">
        <v>19</v>
      </c>
      <c r="F28" s="124">
        <v>24146</v>
      </c>
      <c r="G28" s="160">
        <v>7.6</v>
      </c>
      <c r="H28" s="160">
        <v>1813</v>
      </c>
      <c r="I28" s="193"/>
      <c r="J28" s="162">
        <f t="shared" si="1"/>
        <v>108.99756</v>
      </c>
      <c r="K28" s="276">
        <v>63</v>
      </c>
      <c r="L28" s="276">
        <f>K28*60.12/1000</f>
        <v>3.78756</v>
      </c>
      <c r="M28" s="225">
        <v>703.97</v>
      </c>
      <c r="N28" s="195">
        <f>M28-I28-J28-L28</f>
        <v>591.18488</v>
      </c>
      <c r="O28" s="75"/>
      <c r="P28" s="3"/>
    </row>
    <row r="29" spans="2:28" ht="12.75" customHeight="1">
      <c r="B29" s="120">
        <v>23</v>
      </c>
      <c r="C29" s="58" t="s">
        <v>63</v>
      </c>
      <c r="D29" s="48" t="s">
        <v>101</v>
      </c>
      <c r="E29" s="52">
        <v>29</v>
      </c>
      <c r="F29" s="124">
        <v>20258.6</v>
      </c>
      <c r="G29" s="113">
        <v>6.35</v>
      </c>
      <c r="H29" s="160">
        <f>803+914</f>
        <v>1717</v>
      </c>
      <c r="I29" s="193">
        <f aca="true" t="shared" si="2" ref="I29:I52">H29*77.7/1000</f>
        <v>133.4109</v>
      </c>
      <c r="J29" s="162"/>
      <c r="K29" s="276"/>
      <c r="L29" s="276"/>
      <c r="M29" s="223">
        <v>674.83</v>
      </c>
      <c r="N29" s="195">
        <f t="shared" si="0"/>
        <v>541.4191000000001</v>
      </c>
      <c r="O29" s="75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120">
        <v>24</v>
      </c>
      <c r="C30" s="58" t="s">
        <v>55</v>
      </c>
      <c r="D30" s="47" t="s">
        <v>101</v>
      </c>
      <c r="E30" s="52">
        <v>31</v>
      </c>
      <c r="F30" s="124">
        <v>6735.1</v>
      </c>
      <c r="G30" s="160">
        <v>6.15</v>
      </c>
      <c r="H30" s="160">
        <v>604</v>
      </c>
      <c r="I30" s="193">
        <f t="shared" si="2"/>
        <v>46.930800000000005</v>
      </c>
      <c r="J30" s="162"/>
      <c r="K30" s="276"/>
      <c r="L30" s="276"/>
      <c r="M30" s="224">
        <v>217.7</v>
      </c>
      <c r="N30" s="195">
        <f t="shared" si="0"/>
        <v>170.76919999999998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120">
        <v>25</v>
      </c>
      <c r="C31" s="58" t="s">
        <v>84</v>
      </c>
      <c r="D31" s="47" t="s">
        <v>85</v>
      </c>
      <c r="E31" s="52">
        <v>27</v>
      </c>
      <c r="F31" s="124">
        <v>13989.3</v>
      </c>
      <c r="G31" s="160">
        <v>5.8</v>
      </c>
      <c r="H31" s="160">
        <f>867+685</f>
        <v>1552</v>
      </c>
      <c r="I31" s="193">
        <f t="shared" si="2"/>
        <v>120.5904</v>
      </c>
      <c r="J31" s="162"/>
      <c r="K31" s="276"/>
      <c r="L31" s="276"/>
      <c r="M31" s="223">
        <v>446.83</v>
      </c>
      <c r="N31" s="195">
        <f t="shared" si="0"/>
        <v>326.2396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120">
        <v>26</v>
      </c>
      <c r="C32" s="58" t="s">
        <v>2</v>
      </c>
      <c r="D32" s="47" t="s">
        <v>85</v>
      </c>
      <c r="E32" s="52">
        <v>29</v>
      </c>
      <c r="F32" s="124">
        <v>13695.4</v>
      </c>
      <c r="G32" s="113">
        <v>5.86</v>
      </c>
      <c r="H32" s="160">
        <v>1428</v>
      </c>
      <c r="I32" s="193">
        <f t="shared" si="2"/>
        <v>110.9556</v>
      </c>
      <c r="J32" s="162"/>
      <c r="K32" s="276"/>
      <c r="L32" s="276"/>
      <c r="M32" s="223">
        <v>413.49</v>
      </c>
      <c r="N32" s="195">
        <f t="shared" si="0"/>
        <v>302.5344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120">
        <v>27</v>
      </c>
      <c r="C33" s="58" t="s">
        <v>3</v>
      </c>
      <c r="D33" s="47" t="s">
        <v>85</v>
      </c>
      <c r="E33" s="52">
        <v>31</v>
      </c>
      <c r="F33" s="124">
        <v>6360.3</v>
      </c>
      <c r="G33" s="113">
        <v>7.55</v>
      </c>
      <c r="H33" s="160">
        <v>624</v>
      </c>
      <c r="I33" s="193">
        <f t="shared" si="2"/>
        <v>48.4848</v>
      </c>
      <c r="J33" s="162"/>
      <c r="K33" s="276"/>
      <c r="L33" s="276"/>
      <c r="M33" s="223">
        <v>225.27</v>
      </c>
      <c r="N33" s="195">
        <f t="shared" si="0"/>
        <v>176.7852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120">
        <v>28</v>
      </c>
      <c r="C34" s="58" t="s">
        <v>4</v>
      </c>
      <c r="D34" s="47" t="s">
        <v>113</v>
      </c>
      <c r="E34" s="52" t="s">
        <v>114</v>
      </c>
      <c r="F34" s="124">
        <v>12946.5</v>
      </c>
      <c r="G34" s="113">
        <v>6.27</v>
      </c>
      <c r="H34" s="160">
        <v>970</v>
      </c>
      <c r="I34" s="193">
        <f t="shared" si="2"/>
        <v>75.369</v>
      </c>
      <c r="J34" s="162"/>
      <c r="K34" s="276"/>
      <c r="L34" s="276"/>
      <c r="M34" s="223">
        <v>409.21</v>
      </c>
      <c r="N34" s="195">
        <f t="shared" si="0"/>
        <v>333.841</v>
      </c>
      <c r="O34" s="75"/>
      <c r="P34" s="3"/>
    </row>
    <row r="35" spans="2:16" ht="12.75" customHeight="1">
      <c r="B35" s="120">
        <v>29</v>
      </c>
      <c r="C35" s="58" t="s">
        <v>5</v>
      </c>
      <c r="D35" s="47" t="s">
        <v>113</v>
      </c>
      <c r="E35" s="52">
        <v>35</v>
      </c>
      <c r="F35" s="124">
        <v>12207.7</v>
      </c>
      <c r="G35" s="113">
        <v>5.8</v>
      </c>
      <c r="H35" s="160">
        <v>1004</v>
      </c>
      <c r="I35" s="193">
        <f t="shared" si="2"/>
        <v>78.0108</v>
      </c>
      <c r="J35" s="162"/>
      <c r="K35" s="276"/>
      <c r="L35" s="276"/>
      <c r="M35" s="223">
        <v>345.99</v>
      </c>
      <c r="N35" s="195">
        <f t="shared" si="0"/>
        <v>267.9792</v>
      </c>
      <c r="O35" s="75"/>
      <c r="P35" s="3"/>
    </row>
    <row r="36" spans="2:16" ht="12.75" customHeight="1">
      <c r="B36" s="120">
        <v>30</v>
      </c>
      <c r="C36" s="58" t="s">
        <v>6</v>
      </c>
      <c r="D36" s="47" t="s">
        <v>113</v>
      </c>
      <c r="E36" s="52">
        <v>39</v>
      </c>
      <c r="F36" s="124">
        <v>4902.2</v>
      </c>
      <c r="G36" s="113">
        <v>7.65</v>
      </c>
      <c r="H36" s="160">
        <v>415</v>
      </c>
      <c r="I36" s="193">
        <f t="shared" si="2"/>
        <v>32.2455</v>
      </c>
      <c r="J36" s="162"/>
      <c r="K36" s="276"/>
      <c r="L36" s="276"/>
      <c r="M36" s="223">
        <v>145.93</v>
      </c>
      <c r="N36" s="195">
        <f t="shared" si="0"/>
        <v>113.68450000000001</v>
      </c>
      <c r="O36" s="75"/>
      <c r="P36" s="3"/>
    </row>
    <row r="37" spans="2:28" ht="12.75" customHeight="1">
      <c r="B37" s="120">
        <v>31</v>
      </c>
      <c r="C37" s="58" t="s">
        <v>64</v>
      </c>
      <c r="D37" s="47" t="s">
        <v>101</v>
      </c>
      <c r="E37" s="52">
        <v>33</v>
      </c>
      <c r="F37" s="124">
        <v>19674.8</v>
      </c>
      <c r="G37" s="160">
        <v>6.04</v>
      </c>
      <c r="H37" s="160">
        <f>884+794</f>
        <v>1678</v>
      </c>
      <c r="I37" s="193">
        <f t="shared" si="2"/>
        <v>130.38060000000002</v>
      </c>
      <c r="J37" s="162"/>
      <c r="K37" s="276"/>
      <c r="L37" s="276"/>
      <c r="M37" s="223">
        <v>620.33</v>
      </c>
      <c r="N37" s="195">
        <f t="shared" si="0"/>
        <v>489.9494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120">
        <v>32</v>
      </c>
      <c r="C38" s="58" t="s">
        <v>7</v>
      </c>
      <c r="D38" s="47" t="s">
        <v>101</v>
      </c>
      <c r="E38" s="52">
        <v>35</v>
      </c>
      <c r="F38" s="124">
        <v>10939</v>
      </c>
      <c r="G38" s="113">
        <v>6.65</v>
      </c>
      <c r="H38" s="160">
        <v>891</v>
      </c>
      <c r="I38" s="193">
        <f t="shared" si="2"/>
        <v>69.2307</v>
      </c>
      <c r="J38" s="162"/>
      <c r="K38" s="276"/>
      <c r="L38" s="276"/>
      <c r="M38" s="223">
        <v>363.75</v>
      </c>
      <c r="N38" s="195">
        <f t="shared" si="0"/>
        <v>294.5193</v>
      </c>
      <c r="O38" s="75"/>
      <c r="P38" s="3"/>
    </row>
    <row r="39" spans="2:28" ht="12.75" customHeight="1">
      <c r="B39" s="120">
        <v>33</v>
      </c>
      <c r="C39" s="58" t="s">
        <v>8</v>
      </c>
      <c r="D39" s="47" t="s">
        <v>85</v>
      </c>
      <c r="E39" s="52">
        <v>33</v>
      </c>
      <c r="F39" s="124">
        <v>6730.4</v>
      </c>
      <c r="G39" s="113">
        <v>7.03</v>
      </c>
      <c r="H39" s="160">
        <v>632</v>
      </c>
      <c r="I39" s="193">
        <f t="shared" si="2"/>
        <v>49.1064</v>
      </c>
      <c r="J39" s="162"/>
      <c r="K39" s="276"/>
      <c r="L39" s="276"/>
      <c r="M39" s="224">
        <v>251</v>
      </c>
      <c r="N39" s="195">
        <f t="shared" si="0"/>
        <v>201.8936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120">
        <v>34</v>
      </c>
      <c r="C40" s="58" t="s">
        <v>9</v>
      </c>
      <c r="D40" s="48" t="s">
        <v>101</v>
      </c>
      <c r="E40" s="52">
        <v>45</v>
      </c>
      <c r="F40" s="124">
        <v>6586.2</v>
      </c>
      <c r="G40" s="83">
        <v>5.93</v>
      </c>
      <c r="H40" s="160">
        <v>627</v>
      </c>
      <c r="I40" s="193">
        <f t="shared" si="2"/>
        <v>48.7179</v>
      </c>
      <c r="J40" s="162"/>
      <c r="K40" s="276"/>
      <c r="L40" s="276"/>
      <c r="M40" s="224">
        <v>207.4</v>
      </c>
      <c r="N40" s="195">
        <f t="shared" si="0"/>
        <v>158.6821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120">
        <v>35</v>
      </c>
      <c r="C41" s="58" t="s">
        <v>10</v>
      </c>
      <c r="D41" s="47" t="s">
        <v>113</v>
      </c>
      <c r="E41" s="52" t="s">
        <v>115</v>
      </c>
      <c r="F41" s="124">
        <v>2378.8</v>
      </c>
      <c r="G41" s="113">
        <v>7.67</v>
      </c>
      <c r="H41" s="160">
        <v>219</v>
      </c>
      <c r="I41" s="193">
        <f t="shared" si="2"/>
        <v>17.016299999999998</v>
      </c>
      <c r="J41" s="162"/>
      <c r="K41" s="276"/>
      <c r="L41" s="276"/>
      <c r="M41" s="223">
        <v>92.12</v>
      </c>
      <c r="N41" s="195">
        <f t="shared" si="0"/>
        <v>75.1037</v>
      </c>
      <c r="O41" s="75"/>
      <c r="P41" s="3"/>
    </row>
    <row r="42" spans="2:28" ht="12.75" customHeight="1">
      <c r="B42" s="120">
        <v>36</v>
      </c>
      <c r="C42" s="58" t="s">
        <v>100</v>
      </c>
      <c r="D42" s="47" t="s">
        <v>98</v>
      </c>
      <c r="E42" s="52">
        <v>138</v>
      </c>
      <c r="F42" s="124">
        <v>7175.7</v>
      </c>
      <c r="G42" s="113">
        <v>8.29</v>
      </c>
      <c r="H42" s="160">
        <v>504</v>
      </c>
      <c r="I42" s="193">
        <f t="shared" si="2"/>
        <v>39.1608</v>
      </c>
      <c r="J42" s="162"/>
      <c r="K42" s="276"/>
      <c r="L42" s="276"/>
      <c r="M42" s="223">
        <v>251.38</v>
      </c>
      <c r="N42" s="195">
        <f t="shared" si="0"/>
        <v>212.2192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120">
        <v>37</v>
      </c>
      <c r="C43" s="196" t="s">
        <v>58</v>
      </c>
      <c r="D43" s="197" t="s">
        <v>98</v>
      </c>
      <c r="E43" s="198" t="s">
        <v>99</v>
      </c>
      <c r="F43" s="199">
        <v>4256.7</v>
      </c>
      <c r="G43" s="200">
        <v>7.6</v>
      </c>
      <c r="H43" s="200">
        <v>324</v>
      </c>
      <c r="I43" s="193">
        <f t="shared" si="2"/>
        <v>25.174799999999998</v>
      </c>
      <c r="J43" s="215"/>
      <c r="K43" s="277"/>
      <c r="L43" s="277"/>
      <c r="M43" s="226">
        <v>160.45</v>
      </c>
      <c r="N43" s="195">
        <f t="shared" si="0"/>
        <v>135.27519999999998</v>
      </c>
      <c r="O43" s="75"/>
      <c r="P43" s="3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120">
        <v>38</v>
      </c>
      <c r="C44" s="58" t="s">
        <v>12</v>
      </c>
      <c r="D44" s="47" t="s">
        <v>75</v>
      </c>
      <c r="E44" s="52">
        <v>59</v>
      </c>
      <c r="F44" s="124">
        <v>5797</v>
      </c>
      <c r="G44" s="161">
        <v>8.67</v>
      </c>
      <c r="H44" s="160">
        <v>452</v>
      </c>
      <c r="I44" s="193">
        <f t="shared" si="2"/>
        <v>35.120400000000004</v>
      </c>
      <c r="J44" s="162"/>
      <c r="K44" s="276"/>
      <c r="L44" s="276"/>
      <c r="M44" s="223">
        <v>207.33</v>
      </c>
      <c r="N44" s="195">
        <f t="shared" si="0"/>
        <v>172.20960000000002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120">
        <v>39</v>
      </c>
      <c r="C45" s="58" t="s">
        <v>134</v>
      </c>
      <c r="D45" s="47" t="s">
        <v>75</v>
      </c>
      <c r="E45" s="52" t="s">
        <v>115</v>
      </c>
      <c r="F45" s="124">
        <v>5325.4</v>
      </c>
      <c r="G45" s="160">
        <v>7.6</v>
      </c>
      <c r="H45" s="160">
        <v>127</v>
      </c>
      <c r="I45" s="193"/>
      <c r="J45" s="162">
        <f>H45*60.12/1000</f>
        <v>7.63524</v>
      </c>
      <c r="K45" s="276"/>
      <c r="L45" s="276"/>
      <c r="M45" s="223">
        <v>30.83</v>
      </c>
      <c r="N45" s="195">
        <f t="shared" si="0"/>
        <v>23.19476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120">
        <v>40</v>
      </c>
      <c r="C46" s="58" t="s">
        <v>13</v>
      </c>
      <c r="D46" s="47" t="s">
        <v>76</v>
      </c>
      <c r="E46" s="52">
        <v>5</v>
      </c>
      <c r="F46" s="124">
        <v>11675.3</v>
      </c>
      <c r="G46" s="113">
        <v>6.12</v>
      </c>
      <c r="H46" s="160">
        <v>476</v>
      </c>
      <c r="I46" s="193">
        <f t="shared" si="2"/>
        <v>36.985200000000006</v>
      </c>
      <c r="J46" s="162"/>
      <c r="K46" s="276"/>
      <c r="L46" s="276"/>
      <c r="M46" s="223">
        <v>420.43</v>
      </c>
      <c r="N46" s="195">
        <f t="shared" si="0"/>
        <v>383.4448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120">
        <v>41</v>
      </c>
      <c r="C47" s="58" t="s">
        <v>14</v>
      </c>
      <c r="D47" s="47" t="s">
        <v>76</v>
      </c>
      <c r="E47" s="52" t="s">
        <v>77</v>
      </c>
      <c r="F47" s="124">
        <v>3803.7</v>
      </c>
      <c r="G47" s="113">
        <v>6.84</v>
      </c>
      <c r="H47" s="160">
        <v>323</v>
      </c>
      <c r="I47" s="193">
        <f t="shared" si="2"/>
        <v>25.0971</v>
      </c>
      <c r="J47" s="162"/>
      <c r="K47" s="276"/>
      <c r="L47" s="276"/>
      <c r="M47" s="223">
        <v>143.32</v>
      </c>
      <c r="N47" s="195">
        <f t="shared" si="0"/>
        <v>118.2229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120">
        <v>42</v>
      </c>
      <c r="C48" s="196" t="s">
        <v>15</v>
      </c>
      <c r="D48" s="201" t="s">
        <v>86</v>
      </c>
      <c r="E48" s="202" t="s">
        <v>87</v>
      </c>
      <c r="F48" s="203">
        <v>13733.1</v>
      </c>
      <c r="G48" s="200">
        <v>4.7</v>
      </c>
      <c r="H48" s="200">
        <v>1354</v>
      </c>
      <c r="I48" s="193">
        <f t="shared" si="2"/>
        <v>105.2058</v>
      </c>
      <c r="J48" s="215"/>
      <c r="K48" s="277"/>
      <c r="L48" s="277"/>
      <c r="M48" s="227">
        <v>384.66</v>
      </c>
      <c r="N48" s="195">
        <f t="shared" si="0"/>
        <v>279.4542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120">
        <v>43</v>
      </c>
      <c r="C49" s="58" t="s">
        <v>90</v>
      </c>
      <c r="D49" s="47" t="s">
        <v>86</v>
      </c>
      <c r="E49" s="52" t="s">
        <v>91</v>
      </c>
      <c r="F49" s="124">
        <v>8981.6</v>
      </c>
      <c r="G49" s="160">
        <v>6.95</v>
      </c>
      <c r="H49" s="160">
        <v>803</v>
      </c>
      <c r="I49" s="193">
        <f t="shared" si="2"/>
        <v>62.393100000000004</v>
      </c>
      <c r="J49" s="162"/>
      <c r="K49" s="276"/>
      <c r="L49" s="276"/>
      <c r="M49" s="223">
        <v>325.41</v>
      </c>
      <c r="N49" s="195">
        <f t="shared" si="0"/>
        <v>263.0169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120">
        <v>44</v>
      </c>
      <c r="C50" s="58" t="s">
        <v>88</v>
      </c>
      <c r="D50" s="47" t="s">
        <v>86</v>
      </c>
      <c r="E50" s="52" t="s">
        <v>89</v>
      </c>
      <c r="F50" s="124">
        <v>4789.4</v>
      </c>
      <c r="G50" s="113">
        <v>7.35</v>
      </c>
      <c r="H50" s="200">
        <v>489</v>
      </c>
      <c r="I50" s="193">
        <f t="shared" si="2"/>
        <v>37.9953</v>
      </c>
      <c r="J50" s="215"/>
      <c r="K50" s="277"/>
      <c r="L50" s="277"/>
      <c r="M50" s="227">
        <v>183.44</v>
      </c>
      <c r="N50" s="195">
        <f t="shared" si="0"/>
        <v>145.4447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120">
        <v>45</v>
      </c>
      <c r="C51" s="58" t="s">
        <v>92</v>
      </c>
      <c r="D51" s="47" t="s">
        <v>86</v>
      </c>
      <c r="E51" s="52" t="s">
        <v>93</v>
      </c>
      <c r="F51" s="124">
        <v>5273.8</v>
      </c>
      <c r="G51" s="113">
        <v>6.6</v>
      </c>
      <c r="H51" s="200">
        <v>450</v>
      </c>
      <c r="I51" s="193">
        <f t="shared" si="2"/>
        <v>34.965</v>
      </c>
      <c r="J51" s="215"/>
      <c r="K51" s="277"/>
      <c r="L51" s="277"/>
      <c r="M51" s="227">
        <v>163.96</v>
      </c>
      <c r="N51" s="195">
        <f t="shared" si="0"/>
        <v>128.995</v>
      </c>
      <c r="O51" s="75"/>
      <c r="P51" s="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120">
        <v>46</v>
      </c>
      <c r="C52" s="58" t="s">
        <v>19</v>
      </c>
      <c r="D52" s="47" t="s">
        <v>83</v>
      </c>
      <c r="E52" s="52">
        <v>108</v>
      </c>
      <c r="F52" s="124">
        <v>11125.8</v>
      </c>
      <c r="G52" s="113">
        <v>5.78</v>
      </c>
      <c r="H52" s="160">
        <v>1081</v>
      </c>
      <c r="I52" s="193">
        <f t="shared" si="2"/>
        <v>83.9937</v>
      </c>
      <c r="J52" s="162"/>
      <c r="K52" s="276"/>
      <c r="L52" s="276"/>
      <c r="M52" s="223">
        <v>246.67</v>
      </c>
      <c r="N52" s="195">
        <f t="shared" si="0"/>
        <v>162.67629999999997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120">
        <v>47</v>
      </c>
      <c r="C53" s="58" t="s">
        <v>70</v>
      </c>
      <c r="D53" s="47" t="s">
        <v>83</v>
      </c>
      <c r="E53" s="52">
        <v>120</v>
      </c>
      <c r="F53" s="124">
        <v>6713.5</v>
      </c>
      <c r="G53" s="113">
        <v>6.11</v>
      </c>
      <c r="H53" s="160">
        <v>460</v>
      </c>
      <c r="I53" s="193"/>
      <c r="J53" s="162">
        <f>H53*60.12/1000</f>
        <v>27.655199999999997</v>
      </c>
      <c r="K53" s="276"/>
      <c r="L53" s="276"/>
      <c r="M53" s="223">
        <v>236.22</v>
      </c>
      <c r="N53" s="195">
        <f t="shared" si="0"/>
        <v>208.5648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120">
        <v>48</v>
      </c>
      <c r="C54" s="58" t="s">
        <v>135</v>
      </c>
      <c r="D54" s="47" t="s">
        <v>83</v>
      </c>
      <c r="E54" s="52">
        <v>124</v>
      </c>
      <c r="F54" s="124">
        <v>6718.7</v>
      </c>
      <c r="G54" s="113">
        <v>6.11</v>
      </c>
      <c r="H54" s="160">
        <v>745</v>
      </c>
      <c r="I54" s="193"/>
      <c r="J54" s="162">
        <f>H54*60.12/1000</f>
        <v>44.7894</v>
      </c>
      <c r="K54" s="276"/>
      <c r="L54" s="276"/>
      <c r="M54" s="223">
        <v>276.62</v>
      </c>
      <c r="N54" s="195">
        <f t="shared" si="0"/>
        <v>231.8306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120">
        <v>49</v>
      </c>
      <c r="C55" s="58" t="s">
        <v>136</v>
      </c>
      <c r="D55" s="47" t="s">
        <v>83</v>
      </c>
      <c r="E55" s="52">
        <v>128</v>
      </c>
      <c r="F55" s="124">
        <v>6706.5</v>
      </c>
      <c r="G55" s="113">
        <v>6.11</v>
      </c>
      <c r="H55" s="160">
        <v>402</v>
      </c>
      <c r="I55" s="193"/>
      <c r="J55" s="162">
        <f>H55*60.12/1000</f>
        <v>24.168239999999997</v>
      </c>
      <c r="K55" s="276"/>
      <c r="L55" s="276"/>
      <c r="M55" s="223">
        <v>225.16</v>
      </c>
      <c r="N55" s="195">
        <f t="shared" si="0"/>
        <v>200.99176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28" ht="12.75" customHeight="1">
      <c r="B56" s="120">
        <v>50</v>
      </c>
      <c r="C56" s="58" t="s">
        <v>20</v>
      </c>
      <c r="D56" s="47" t="s">
        <v>83</v>
      </c>
      <c r="E56" s="52">
        <v>110</v>
      </c>
      <c r="F56" s="124">
        <v>11638.3</v>
      </c>
      <c r="G56" s="113">
        <v>6.56</v>
      </c>
      <c r="H56" s="160">
        <v>840</v>
      </c>
      <c r="I56" s="193">
        <f aca="true" t="shared" si="3" ref="I56:I62">H56*77.7/1000</f>
        <v>65.268</v>
      </c>
      <c r="J56" s="162"/>
      <c r="K56" s="276"/>
      <c r="L56" s="276"/>
      <c r="M56" s="223">
        <v>409.99</v>
      </c>
      <c r="N56" s="195">
        <f t="shared" si="0"/>
        <v>344.722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3"/>
    </row>
    <row r="57" spans="2:28" ht="12.75" customHeight="1">
      <c r="B57" s="120">
        <v>51</v>
      </c>
      <c r="C57" s="58" t="s">
        <v>21</v>
      </c>
      <c r="D57" s="47" t="s">
        <v>83</v>
      </c>
      <c r="E57" s="52">
        <v>114</v>
      </c>
      <c r="F57" s="124">
        <v>9185</v>
      </c>
      <c r="G57" s="113">
        <v>6.28</v>
      </c>
      <c r="H57" s="160">
        <v>867</v>
      </c>
      <c r="I57" s="193">
        <f t="shared" si="3"/>
        <v>67.36590000000001</v>
      </c>
      <c r="J57" s="162"/>
      <c r="K57" s="276"/>
      <c r="L57" s="276"/>
      <c r="M57" s="223">
        <v>320.87</v>
      </c>
      <c r="N57" s="195">
        <f t="shared" si="0"/>
        <v>253.5041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120">
        <v>52</v>
      </c>
      <c r="C58" s="58" t="s">
        <v>22</v>
      </c>
      <c r="D58" s="47" t="s">
        <v>83</v>
      </c>
      <c r="E58" s="52">
        <v>118</v>
      </c>
      <c r="F58" s="124">
        <v>9190.4</v>
      </c>
      <c r="G58" s="113">
        <v>6.26</v>
      </c>
      <c r="H58" s="160">
        <v>858</v>
      </c>
      <c r="I58" s="193">
        <f t="shared" si="3"/>
        <v>66.6666</v>
      </c>
      <c r="J58" s="162"/>
      <c r="K58" s="276"/>
      <c r="L58" s="276"/>
      <c r="M58" s="223">
        <v>320.34</v>
      </c>
      <c r="N58" s="195">
        <f t="shared" si="0"/>
        <v>253.67339999999996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</row>
    <row r="59" spans="2:28" ht="12.75" customHeight="1">
      <c r="B59" s="120">
        <v>53</v>
      </c>
      <c r="C59" s="58" t="s">
        <v>23</v>
      </c>
      <c r="D59" s="47" t="s">
        <v>83</v>
      </c>
      <c r="E59" s="52">
        <v>122</v>
      </c>
      <c r="F59" s="124">
        <v>9187.9</v>
      </c>
      <c r="G59" s="113">
        <v>5.38</v>
      </c>
      <c r="H59" s="160">
        <v>930</v>
      </c>
      <c r="I59" s="193">
        <f t="shared" si="3"/>
        <v>72.261</v>
      </c>
      <c r="J59" s="162"/>
      <c r="K59" s="276"/>
      <c r="L59" s="276"/>
      <c r="M59" s="224">
        <v>280</v>
      </c>
      <c r="N59" s="195">
        <f t="shared" si="0"/>
        <v>207.739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120">
        <v>54</v>
      </c>
      <c r="C60" s="58" t="s">
        <v>24</v>
      </c>
      <c r="D60" s="47" t="s">
        <v>83</v>
      </c>
      <c r="E60" s="52">
        <v>126</v>
      </c>
      <c r="F60" s="124">
        <v>9187.1</v>
      </c>
      <c r="G60" s="113">
        <v>6.03</v>
      </c>
      <c r="H60" s="160">
        <v>945</v>
      </c>
      <c r="I60" s="193">
        <f t="shared" si="3"/>
        <v>73.4265</v>
      </c>
      <c r="J60" s="162"/>
      <c r="K60" s="276"/>
      <c r="L60" s="276"/>
      <c r="M60" s="223">
        <v>319.31</v>
      </c>
      <c r="N60" s="195">
        <f t="shared" si="0"/>
        <v>245.8835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0"/>
    </row>
    <row r="61" spans="2:28" ht="12.75" customHeight="1">
      <c r="B61" s="120">
        <v>55</v>
      </c>
      <c r="C61" s="58" t="s">
        <v>81</v>
      </c>
      <c r="D61" s="47" t="s">
        <v>79</v>
      </c>
      <c r="E61" s="52" t="s">
        <v>82</v>
      </c>
      <c r="F61" s="124">
        <v>6886.8</v>
      </c>
      <c r="G61" s="113">
        <v>5.66</v>
      </c>
      <c r="H61" s="160">
        <v>487</v>
      </c>
      <c r="I61" s="193">
        <f t="shared" si="3"/>
        <v>37.8399</v>
      </c>
      <c r="J61" s="162"/>
      <c r="K61" s="276"/>
      <c r="L61" s="276"/>
      <c r="M61" s="223">
        <v>204.95</v>
      </c>
      <c r="N61" s="195">
        <f t="shared" si="0"/>
        <v>167.1101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3"/>
    </row>
    <row r="62" spans="2:32" ht="14.25" customHeight="1" thickBot="1">
      <c r="B62" s="139">
        <v>56</v>
      </c>
      <c r="C62" s="140" t="s">
        <v>78</v>
      </c>
      <c r="D62" s="141" t="s">
        <v>79</v>
      </c>
      <c r="E62" s="142" t="s">
        <v>80</v>
      </c>
      <c r="F62" s="129">
        <v>4261.1</v>
      </c>
      <c r="G62" s="172">
        <v>7.72</v>
      </c>
      <c r="H62" s="160">
        <v>384</v>
      </c>
      <c r="I62" s="193">
        <f t="shared" si="3"/>
        <v>29.836800000000004</v>
      </c>
      <c r="J62" s="163"/>
      <c r="K62" s="278"/>
      <c r="L62" s="278"/>
      <c r="M62" s="217">
        <v>134.74</v>
      </c>
      <c r="N62" s="195">
        <f t="shared" si="0"/>
        <v>104.9032</v>
      </c>
      <c r="O62" s="76"/>
      <c r="P62" s="25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0"/>
      <c r="AF62" s="1"/>
    </row>
    <row r="63" spans="2:32" ht="14.25" customHeight="1">
      <c r="B63" s="139">
        <v>57</v>
      </c>
      <c r="C63" s="140" t="s">
        <v>144</v>
      </c>
      <c r="D63" s="141" t="s">
        <v>101</v>
      </c>
      <c r="E63" s="142">
        <v>32</v>
      </c>
      <c r="F63" s="124">
        <v>28893.1</v>
      </c>
      <c r="G63" s="173">
        <v>7.6</v>
      </c>
      <c r="H63" s="173">
        <v>60</v>
      </c>
      <c r="I63" s="193"/>
      <c r="J63" s="163">
        <f>H63*60.12/1000</f>
        <v>3.6071999999999997</v>
      </c>
      <c r="K63" s="278"/>
      <c r="L63" s="278"/>
      <c r="M63" s="217">
        <v>608.83</v>
      </c>
      <c r="N63" s="195">
        <f t="shared" si="0"/>
        <v>605.2228</v>
      </c>
      <c r="O63" s="14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 thickBot="1">
      <c r="B64" s="121">
        <v>58</v>
      </c>
      <c r="C64" s="59" t="s">
        <v>145</v>
      </c>
      <c r="D64" s="50" t="s">
        <v>101</v>
      </c>
      <c r="E64" s="54">
        <v>36</v>
      </c>
      <c r="F64" s="129">
        <v>14015.8</v>
      </c>
      <c r="G64" s="174">
        <v>7.6</v>
      </c>
      <c r="H64" s="174">
        <v>12</v>
      </c>
      <c r="I64" s="193"/>
      <c r="J64" s="228">
        <f>H64*60.12/1000</f>
        <v>0.72144</v>
      </c>
      <c r="K64" s="278"/>
      <c r="L64" s="278"/>
      <c r="M64" s="218">
        <v>297.52</v>
      </c>
      <c r="N64" s="195">
        <f t="shared" si="0"/>
        <v>296.79856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14" ht="13.5" thickBot="1">
      <c r="B65" s="85"/>
      <c r="C65" s="10"/>
      <c r="D65" s="10"/>
      <c r="E65" s="8"/>
      <c r="F65" s="156">
        <f>SUM(F7:F64)</f>
        <v>590621.8</v>
      </c>
      <c r="G65" s="79"/>
      <c r="H65" s="79">
        <f aca="true" t="shared" si="4" ref="H65:N65">SUM(H7:H64)</f>
        <v>44481</v>
      </c>
      <c r="I65" s="210">
        <f t="shared" si="4"/>
        <v>2140.0911</v>
      </c>
      <c r="J65" s="210">
        <f t="shared" si="4"/>
        <v>1018.3125600000001</v>
      </c>
      <c r="K65" s="79"/>
      <c r="L65" s="171"/>
      <c r="M65" s="79">
        <f t="shared" si="4"/>
        <v>18462.360000000008</v>
      </c>
      <c r="N65" s="9">
        <f t="shared" si="4"/>
        <v>15298.54554</v>
      </c>
    </row>
    <row r="66" ht="12.75">
      <c r="F66" s="67"/>
    </row>
  </sheetData>
  <sheetProtection/>
  <mergeCells count="1">
    <mergeCell ref="H5:N5"/>
  </mergeCells>
  <printOptions/>
  <pageMargins left="0.16" right="0.11" top="0.2" bottom="0.2" header="0.2" footer="0.2"/>
  <pageSetup horizontalDpi="600" verticalDpi="600" orientation="portrait" paperSize="9" r:id="rId1"/>
  <ignoredErrors>
    <ignoredError sqref="C7:C1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3:AD6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9" sqref="L9:L10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21" max="21" width="10.375" style="0" customWidth="1"/>
    <col min="22" max="24" width="10.00390625" style="0" customWidth="1"/>
    <col min="25" max="25" width="11.375" style="0" customWidth="1"/>
    <col min="26" max="26" width="10.625" style="0" customWidth="1"/>
    <col min="27" max="27" width="12.00390625" style="0" customWidth="1"/>
    <col min="28" max="28" width="11.875" style="0" customWidth="1"/>
    <col min="30" max="30" width="10.25390625" style="0" customWidth="1"/>
  </cols>
  <sheetData>
    <row r="3" spans="3:6" ht="15.75">
      <c r="C3" s="1" t="s">
        <v>142</v>
      </c>
      <c r="D3" s="1"/>
      <c r="E3" s="1"/>
      <c r="F3" s="1"/>
    </row>
    <row r="4" spans="7:27" ht="16.5" thickBot="1">
      <c r="G4" s="1"/>
      <c r="H4" s="1"/>
      <c r="I4" s="1"/>
      <c r="J4" s="1"/>
      <c r="K4" s="1"/>
      <c r="L4" s="1"/>
      <c r="M4" s="1"/>
      <c r="N4" s="1"/>
      <c r="AA4" s="6">
        <v>480</v>
      </c>
    </row>
    <row r="5" spans="2:26" ht="16.5" thickBot="1">
      <c r="B5" s="18" t="s">
        <v>47</v>
      </c>
      <c r="C5" s="506" t="s">
        <v>47</v>
      </c>
      <c r="D5" s="14"/>
      <c r="E5" s="14"/>
      <c r="F5" s="506" t="s">
        <v>46</v>
      </c>
      <c r="G5" s="506" t="s">
        <v>44</v>
      </c>
      <c r="H5" s="502" t="s">
        <v>140</v>
      </c>
      <c r="I5" s="502"/>
      <c r="J5" s="502"/>
      <c r="K5" s="502"/>
      <c r="L5" s="502"/>
      <c r="M5" s="502"/>
      <c r="N5" s="496"/>
      <c r="O5" s="1"/>
      <c r="P5" s="1"/>
      <c r="Q5" s="1"/>
      <c r="R5" s="1"/>
      <c r="S5" s="1"/>
      <c r="T5" s="1"/>
      <c r="U5" s="2"/>
      <c r="V5" s="1"/>
      <c r="W5" s="1"/>
      <c r="X5" s="1"/>
      <c r="Y5" s="1"/>
      <c r="Z5" s="1"/>
    </row>
    <row r="6" spans="2:26" ht="15.75">
      <c r="B6" s="44"/>
      <c r="C6" s="507"/>
      <c r="D6" s="35"/>
      <c r="E6" s="35"/>
      <c r="F6" s="507"/>
      <c r="G6" s="507"/>
      <c r="H6" s="504" t="s">
        <v>153</v>
      </c>
      <c r="I6" s="504" t="s">
        <v>155</v>
      </c>
      <c r="J6" s="504" t="s">
        <v>156</v>
      </c>
      <c r="K6" s="504" t="s">
        <v>163</v>
      </c>
      <c r="L6" s="504" t="s">
        <v>164</v>
      </c>
      <c r="M6" s="504" t="s">
        <v>161</v>
      </c>
      <c r="N6" s="504" t="s">
        <v>152</v>
      </c>
      <c r="O6" s="1"/>
      <c r="P6" s="1"/>
      <c r="Q6" s="1"/>
      <c r="R6" s="1"/>
      <c r="S6" s="1"/>
      <c r="T6" s="1"/>
      <c r="U6" s="2"/>
      <c r="V6" s="1"/>
      <c r="W6" s="1"/>
      <c r="X6" s="1"/>
      <c r="Y6" s="1"/>
      <c r="Z6" s="1"/>
    </row>
    <row r="7" spans="2:26" ht="41.25" customHeight="1" thickBot="1">
      <c r="B7" s="44" t="s">
        <v>48</v>
      </c>
      <c r="C7" s="19" t="s">
        <v>49</v>
      </c>
      <c r="D7" s="17"/>
      <c r="E7" s="17"/>
      <c r="F7" s="17" t="s">
        <v>45</v>
      </c>
      <c r="G7" s="15" t="s">
        <v>141</v>
      </c>
      <c r="H7" s="505"/>
      <c r="I7" s="505"/>
      <c r="J7" s="505"/>
      <c r="K7" s="505"/>
      <c r="L7" s="505"/>
      <c r="M7" s="505"/>
      <c r="N7" s="505"/>
      <c r="O7" s="11"/>
      <c r="P7" s="11"/>
      <c r="Q7" s="11"/>
      <c r="R7" s="11"/>
      <c r="S7" s="11"/>
      <c r="T7" s="11"/>
      <c r="U7" s="11"/>
      <c r="V7" s="12"/>
      <c r="W7" s="12"/>
      <c r="X7" s="12"/>
      <c r="Y7" s="12"/>
      <c r="Z7" s="12"/>
    </row>
    <row r="8" spans="2:26" ht="12.75">
      <c r="B8" s="119">
        <v>1</v>
      </c>
      <c r="C8" s="117" t="s">
        <v>131</v>
      </c>
      <c r="D8" s="47" t="s">
        <v>98</v>
      </c>
      <c r="E8" s="46" t="s">
        <v>138</v>
      </c>
      <c r="F8" s="122">
        <v>6457.6</v>
      </c>
      <c r="G8" s="490">
        <v>8.27</v>
      </c>
      <c r="H8" s="162">
        <v>340</v>
      </c>
      <c r="I8" s="185">
        <f>H8*77.7/1000</f>
        <v>26.418</v>
      </c>
      <c r="J8" s="185"/>
      <c r="K8" s="185"/>
      <c r="L8" s="185"/>
      <c r="M8" s="186">
        <v>93.5</v>
      </c>
      <c r="N8" s="195">
        <f>M8-I8-J8</f>
        <v>67.082</v>
      </c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12"/>
    </row>
    <row r="9" spans="2:26" ht="12.75">
      <c r="B9" s="120">
        <v>2</v>
      </c>
      <c r="C9" s="118" t="s">
        <v>132</v>
      </c>
      <c r="D9" s="47" t="s">
        <v>98</v>
      </c>
      <c r="E9" s="52">
        <v>79</v>
      </c>
      <c r="F9" s="124">
        <v>12688.5</v>
      </c>
      <c r="G9" s="82">
        <v>7.42</v>
      </c>
      <c r="H9" s="163">
        <v>700</v>
      </c>
      <c r="I9" s="185">
        <f aca="true" t="shared" si="0" ref="I9:I63">H9*77.7/1000</f>
        <v>54.39</v>
      </c>
      <c r="J9" s="185"/>
      <c r="K9" s="185"/>
      <c r="L9" s="185"/>
      <c r="M9" s="184">
        <v>225.62</v>
      </c>
      <c r="N9" s="195">
        <f aca="true" t="shared" si="1" ref="N9:N63">M9-I9-J9</f>
        <v>171.23000000000002</v>
      </c>
      <c r="O9" s="11"/>
      <c r="P9" s="11"/>
      <c r="Q9" s="11"/>
      <c r="R9" s="11"/>
      <c r="S9" s="11"/>
      <c r="T9" s="11"/>
      <c r="U9" s="11"/>
      <c r="V9" s="12"/>
      <c r="W9" s="12"/>
      <c r="X9" s="12"/>
      <c r="Y9" s="12"/>
      <c r="Z9" s="12"/>
    </row>
    <row r="10" spans="2:26" ht="12.75">
      <c r="B10" s="120">
        <v>3</v>
      </c>
      <c r="C10" s="118" t="s">
        <v>133</v>
      </c>
      <c r="D10" s="64" t="s">
        <v>94</v>
      </c>
      <c r="E10" s="52" t="s">
        <v>137</v>
      </c>
      <c r="F10" s="124">
        <v>11181.7</v>
      </c>
      <c r="G10" s="82">
        <v>7.6</v>
      </c>
      <c r="H10" s="163">
        <v>349</v>
      </c>
      <c r="I10" s="185"/>
      <c r="J10" s="185">
        <f>H10*60.12/1000</f>
        <v>20.981879999999997</v>
      </c>
      <c r="K10" s="185"/>
      <c r="L10" s="185"/>
      <c r="M10" s="187">
        <v>165.84</v>
      </c>
      <c r="N10" s="195">
        <f t="shared" si="1"/>
        <v>144.85812</v>
      </c>
      <c r="O10" s="11"/>
      <c r="P10" s="11"/>
      <c r="Q10" s="11"/>
      <c r="R10" s="11"/>
      <c r="S10" s="11"/>
      <c r="T10" s="11"/>
      <c r="U10" s="11"/>
      <c r="V10" s="12"/>
      <c r="W10" s="12"/>
      <c r="X10" s="12"/>
      <c r="Y10" s="12"/>
      <c r="Z10" s="12"/>
    </row>
    <row r="11" spans="2:26" ht="12.75" customHeight="1">
      <c r="B11" s="120">
        <v>4</v>
      </c>
      <c r="C11" s="65" t="s">
        <v>71</v>
      </c>
      <c r="D11" s="64" t="s">
        <v>94</v>
      </c>
      <c r="E11" s="64" t="s">
        <v>95</v>
      </c>
      <c r="F11" s="126" t="s">
        <v>121</v>
      </c>
      <c r="G11" s="159">
        <v>7.6</v>
      </c>
      <c r="H11" s="159">
        <v>136</v>
      </c>
      <c r="I11" s="185"/>
      <c r="J11" s="185">
        <f>H11*60.12/1000</f>
        <v>8.17632</v>
      </c>
      <c r="K11" s="185"/>
      <c r="L11" s="185"/>
      <c r="M11" s="188">
        <v>163.5</v>
      </c>
      <c r="N11" s="195">
        <f>M11-I11-J11-L11</f>
        <v>155.32368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2"/>
      <c r="Z11" s="20"/>
    </row>
    <row r="12" spans="2:26" ht="12.75" customHeight="1">
      <c r="B12" s="120">
        <v>5</v>
      </c>
      <c r="C12" s="57" t="s">
        <v>1</v>
      </c>
      <c r="D12" s="47" t="s">
        <v>96</v>
      </c>
      <c r="E12" s="47" t="s">
        <v>97</v>
      </c>
      <c r="F12" s="126" t="s">
        <v>122</v>
      </c>
      <c r="G12" s="113">
        <v>5.88</v>
      </c>
      <c r="H12" s="159">
        <v>327</v>
      </c>
      <c r="I12" s="185">
        <f t="shared" si="0"/>
        <v>25.4079</v>
      </c>
      <c r="J12" s="185"/>
      <c r="K12" s="185"/>
      <c r="L12" s="185"/>
      <c r="M12" s="189">
        <v>127.56</v>
      </c>
      <c r="N12" s="195">
        <f t="shared" si="1"/>
        <v>102.1521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2"/>
      <c r="Z12" s="23"/>
    </row>
    <row r="13" spans="2:26" ht="12.75" customHeight="1">
      <c r="B13" s="120">
        <v>6</v>
      </c>
      <c r="C13" s="58" t="s">
        <v>107</v>
      </c>
      <c r="D13" s="47" t="s">
        <v>108</v>
      </c>
      <c r="E13" s="47">
        <v>45</v>
      </c>
      <c r="F13" s="129">
        <v>7179.6</v>
      </c>
      <c r="G13" s="83">
        <v>6.11</v>
      </c>
      <c r="H13" s="164">
        <v>152</v>
      </c>
      <c r="I13" s="185">
        <f t="shared" si="0"/>
        <v>11.8104</v>
      </c>
      <c r="J13" s="185"/>
      <c r="K13" s="185"/>
      <c r="L13" s="185"/>
      <c r="M13" s="187">
        <v>116.75</v>
      </c>
      <c r="N13" s="195">
        <f t="shared" si="1"/>
        <v>104.9396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2.75" customHeight="1">
      <c r="B14" s="120">
        <v>7</v>
      </c>
      <c r="C14" s="58" t="s">
        <v>109</v>
      </c>
      <c r="D14" s="47" t="s">
        <v>108</v>
      </c>
      <c r="E14" s="47" t="s">
        <v>110</v>
      </c>
      <c r="F14" s="124">
        <v>7003.6</v>
      </c>
      <c r="G14" s="83">
        <v>6.11</v>
      </c>
      <c r="H14" s="164">
        <v>199</v>
      </c>
      <c r="I14" s="185">
        <f t="shared" si="0"/>
        <v>15.4623</v>
      </c>
      <c r="J14" s="185"/>
      <c r="K14" s="185"/>
      <c r="L14" s="185"/>
      <c r="M14" s="187">
        <v>104.02</v>
      </c>
      <c r="N14" s="195">
        <f t="shared" si="1"/>
        <v>88.5577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14" ht="12.75" customHeight="1">
      <c r="B15" s="120">
        <v>8</v>
      </c>
      <c r="C15" s="58" t="s">
        <v>116</v>
      </c>
      <c r="D15" s="48" t="s">
        <v>117</v>
      </c>
      <c r="E15" s="47" t="s">
        <v>118</v>
      </c>
      <c r="F15" s="124">
        <v>6727.7</v>
      </c>
      <c r="G15" s="113">
        <v>6.04</v>
      </c>
      <c r="H15" s="160">
        <v>376</v>
      </c>
      <c r="I15" s="185">
        <f t="shared" si="0"/>
        <v>29.2152</v>
      </c>
      <c r="J15" s="185"/>
      <c r="K15" s="185"/>
      <c r="L15" s="185"/>
      <c r="M15" s="190">
        <v>102.38</v>
      </c>
      <c r="N15" s="195">
        <f t="shared" si="1"/>
        <v>73.1648</v>
      </c>
    </row>
    <row r="16" spans="2:14" ht="12.75" customHeight="1">
      <c r="B16" s="120">
        <v>9</v>
      </c>
      <c r="C16" s="58" t="s">
        <v>128</v>
      </c>
      <c r="D16" s="48" t="s">
        <v>101</v>
      </c>
      <c r="E16" s="47">
        <v>40</v>
      </c>
      <c r="F16" s="124">
        <v>4726.8</v>
      </c>
      <c r="G16" s="113">
        <v>7.6</v>
      </c>
      <c r="H16" s="160">
        <v>66</v>
      </c>
      <c r="I16" s="185"/>
      <c r="J16" s="185">
        <f aca="true" t="shared" si="2" ref="J16:J29">H16*60.12/1000</f>
        <v>3.9679199999999994</v>
      </c>
      <c r="K16" s="185"/>
      <c r="L16" s="185"/>
      <c r="M16" s="190">
        <v>75.12</v>
      </c>
      <c r="N16" s="195">
        <f t="shared" si="1"/>
        <v>71.15208000000001</v>
      </c>
    </row>
    <row r="17" spans="2:14" ht="12.75" customHeight="1">
      <c r="B17" s="120">
        <v>10</v>
      </c>
      <c r="C17" s="58" t="s">
        <v>129</v>
      </c>
      <c r="D17" s="48" t="s">
        <v>101</v>
      </c>
      <c r="E17" s="47">
        <v>42</v>
      </c>
      <c r="F17" s="124">
        <v>4730.4</v>
      </c>
      <c r="G17" s="113">
        <v>7.6</v>
      </c>
      <c r="H17" s="160">
        <v>212</v>
      </c>
      <c r="I17" s="185"/>
      <c r="J17" s="185">
        <f t="shared" si="2"/>
        <v>12.745439999999999</v>
      </c>
      <c r="K17" s="185"/>
      <c r="L17" s="185"/>
      <c r="M17" s="190">
        <v>93.52</v>
      </c>
      <c r="N17" s="195">
        <f t="shared" si="1"/>
        <v>80.77456</v>
      </c>
    </row>
    <row r="18" spans="2:14" ht="12.75" customHeight="1">
      <c r="B18" s="120">
        <v>11</v>
      </c>
      <c r="C18" s="58" t="s">
        <v>130</v>
      </c>
      <c r="D18" s="48" t="s">
        <v>101</v>
      </c>
      <c r="E18" s="47">
        <v>44</v>
      </c>
      <c r="F18" s="124">
        <v>4727.7</v>
      </c>
      <c r="G18" s="113">
        <v>7.6</v>
      </c>
      <c r="H18" s="160">
        <v>222</v>
      </c>
      <c r="I18" s="185"/>
      <c r="J18" s="185">
        <f t="shared" si="2"/>
        <v>13.346639999999999</v>
      </c>
      <c r="K18" s="185"/>
      <c r="L18" s="185"/>
      <c r="M18" s="190">
        <v>83.7</v>
      </c>
      <c r="N18" s="195">
        <f t="shared" si="1"/>
        <v>70.35336000000001</v>
      </c>
    </row>
    <row r="19" spans="2:14" ht="12.75" customHeight="1">
      <c r="B19" s="120">
        <v>12</v>
      </c>
      <c r="C19" s="58" t="s">
        <v>120</v>
      </c>
      <c r="D19" s="48" t="s">
        <v>111</v>
      </c>
      <c r="E19" s="47">
        <v>11</v>
      </c>
      <c r="F19" s="124">
        <v>10656</v>
      </c>
      <c r="G19" s="113">
        <v>7.6</v>
      </c>
      <c r="H19" s="160">
        <v>611</v>
      </c>
      <c r="I19" s="185"/>
      <c r="J19" s="185">
        <f t="shared" si="2"/>
        <v>36.73332</v>
      </c>
      <c r="K19" s="185"/>
      <c r="L19" s="185"/>
      <c r="M19" s="190">
        <v>199.55</v>
      </c>
      <c r="N19" s="195">
        <f t="shared" si="1"/>
        <v>162.81668000000002</v>
      </c>
    </row>
    <row r="20" spans="2:26" ht="12.75" customHeight="1">
      <c r="B20" s="120">
        <v>13</v>
      </c>
      <c r="C20" s="58" t="s">
        <v>61</v>
      </c>
      <c r="D20" s="48" t="s">
        <v>101</v>
      </c>
      <c r="E20" s="47">
        <v>13</v>
      </c>
      <c r="F20" s="124">
        <v>3545.7</v>
      </c>
      <c r="G20" s="491">
        <v>7.6</v>
      </c>
      <c r="H20" s="165">
        <v>229</v>
      </c>
      <c r="I20" s="185"/>
      <c r="J20" s="185">
        <f t="shared" si="2"/>
        <v>13.767479999999999</v>
      </c>
      <c r="K20" s="185"/>
      <c r="L20" s="185"/>
      <c r="M20" s="187">
        <v>63.72</v>
      </c>
      <c r="N20" s="195">
        <f t="shared" si="1"/>
        <v>49.95252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2"/>
      <c r="Z20" s="20"/>
    </row>
    <row r="21" spans="2:26" ht="12.75" customHeight="1">
      <c r="B21" s="120">
        <v>14</v>
      </c>
      <c r="C21" s="58" t="s">
        <v>62</v>
      </c>
      <c r="D21" s="48" t="s">
        <v>101</v>
      </c>
      <c r="E21" s="47">
        <v>15</v>
      </c>
      <c r="F21" s="124">
        <v>3547.1</v>
      </c>
      <c r="G21" s="491">
        <v>7.6</v>
      </c>
      <c r="H21" s="165">
        <v>120</v>
      </c>
      <c r="I21" s="185"/>
      <c r="J21" s="185">
        <f t="shared" si="2"/>
        <v>7.2143999999999995</v>
      </c>
      <c r="K21" s="185"/>
      <c r="L21" s="185"/>
      <c r="M21" s="187">
        <v>64.87</v>
      </c>
      <c r="N21" s="195">
        <f t="shared" si="1"/>
        <v>57.65560000000001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  <c r="Z21" s="20"/>
    </row>
    <row r="22" spans="2:26" ht="12.75" customHeight="1">
      <c r="B22" s="120">
        <v>15</v>
      </c>
      <c r="C22" s="58" t="s">
        <v>67</v>
      </c>
      <c r="D22" s="48" t="s">
        <v>101</v>
      </c>
      <c r="E22" s="47" t="s">
        <v>102</v>
      </c>
      <c r="F22" s="124">
        <v>3524.6</v>
      </c>
      <c r="G22" s="113">
        <v>7.6</v>
      </c>
      <c r="H22" s="160">
        <v>178</v>
      </c>
      <c r="I22" s="185"/>
      <c r="J22" s="185">
        <f t="shared" si="2"/>
        <v>10.70136</v>
      </c>
      <c r="K22" s="185"/>
      <c r="L22" s="185"/>
      <c r="M22" s="187">
        <v>176.01</v>
      </c>
      <c r="N22" s="195">
        <f t="shared" si="1"/>
        <v>165.30864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2"/>
      <c r="Z22" s="23"/>
    </row>
    <row r="23" spans="2:26" ht="12.75" customHeight="1">
      <c r="B23" s="120">
        <v>16</v>
      </c>
      <c r="C23" s="58" t="s">
        <v>126</v>
      </c>
      <c r="D23" s="48" t="s">
        <v>127</v>
      </c>
      <c r="E23" s="47">
        <v>7</v>
      </c>
      <c r="F23" s="124">
        <v>16614.4</v>
      </c>
      <c r="G23" s="113">
        <v>7.6</v>
      </c>
      <c r="H23" s="160">
        <v>644</v>
      </c>
      <c r="I23" s="185"/>
      <c r="J23" s="185">
        <f t="shared" si="2"/>
        <v>38.71728</v>
      </c>
      <c r="K23" s="185"/>
      <c r="L23" s="185"/>
      <c r="M23" s="187">
        <v>285.04</v>
      </c>
      <c r="N23" s="195">
        <f t="shared" si="1"/>
        <v>246.32272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2"/>
      <c r="Z23" s="23"/>
    </row>
    <row r="24" spans="2:14" ht="12.75" customHeight="1">
      <c r="B24" s="120">
        <v>17</v>
      </c>
      <c r="C24" s="58" t="s">
        <v>68</v>
      </c>
      <c r="D24" s="48" t="s">
        <v>111</v>
      </c>
      <c r="E24" s="51" t="s">
        <v>112</v>
      </c>
      <c r="F24" s="124">
        <v>14948.6</v>
      </c>
      <c r="G24" s="113">
        <v>7.6</v>
      </c>
      <c r="H24" s="160">
        <v>730</v>
      </c>
      <c r="I24" s="185"/>
      <c r="J24" s="185">
        <f t="shared" si="2"/>
        <v>43.8876</v>
      </c>
      <c r="K24" s="185"/>
      <c r="L24" s="185"/>
      <c r="M24" s="187">
        <v>250.8</v>
      </c>
      <c r="N24" s="195">
        <f t="shared" si="1"/>
        <v>206.91240000000002</v>
      </c>
    </row>
    <row r="25" spans="2:26" ht="12.75" customHeight="1">
      <c r="B25" s="120">
        <v>18</v>
      </c>
      <c r="C25" s="58" t="s">
        <v>59</v>
      </c>
      <c r="D25" s="48" t="s">
        <v>101</v>
      </c>
      <c r="E25" s="52">
        <v>21</v>
      </c>
      <c r="F25" s="124">
        <v>19523.1</v>
      </c>
      <c r="G25" s="491">
        <v>7.6</v>
      </c>
      <c r="H25" s="165">
        <v>949</v>
      </c>
      <c r="I25" s="185"/>
      <c r="J25" s="185">
        <f t="shared" si="2"/>
        <v>57.05388</v>
      </c>
      <c r="K25" s="185"/>
      <c r="L25" s="185"/>
      <c r="M25" s="187">
        <v>292.04</v>
      </c>
      <c r="N25" s="195">
        <f t="shared" si="1"/>
        <v>234.98612000000003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2"/>
      <c r="Z25" s="23"/>
    </row>
    <row r="26" spans="2:26" ht="12.75" customHeight="1">
      <c r="B26" s="120">
        <v>19</v>
      </c>
      <c r="C26" s="58" t="s">
        <v>104</v>
      </c>
      <c r="D26" s="48" t="s">
        <v>101</v>
      </c>
      <c r="E26" s="52">
        <v>23</v>
      </c>
      <c r="F26" s="131">
        <v>18481.1</v>
      </c>
      <c r="G26" s="113">
        <v>5.89</v>
      </c>
      <c r="H26" s="160">
        <v>666</v>
      </c>
      <c r="I26" s="185"/>
      <c r="J26" s="185">
        <f t="shared" si="2"/>
        <v>40.039919999999995</v>
      </c>
      <c r="K26" s="185">
        <v>20</v>
      </c>
      <c r="L26" s="185">
        <f>K26*60.12/1000</f>
        <v>1.2024</v>
      </c>
      <c r="M26" s="191">
        <v>299.75</v>
      </c>
      <c r="N26" s="195">
        <f>M26-I26-J26-L26</f>
        <v>258.50768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2"/>
      <c r="Z26" s="20"/>
    </row>
    <row r="27" spans="2:26" ht="12.75" customHeight="1">
      <c r="B27" s="120">
        <v>20</v>
      </c>
      <c r="C27" s="58" t="s">
        <v>105</v>
      </c>
      <c r="D27" s="48" t="s">
        <v>101</v>
      </c>
      <c r="E27" s="52">
        <v>25</v>
      </c>
      <c r="F27" s="124">
        <v>18464.4</v>
      </c>
      <c r="G27" s="113">
        <v>7.6</v>
      </c>
      <c r="H27" s="160">
        <v>951</v>
      </c>
      <c r="I27" s="185"/>
      <c r="J27" s="185">
        <f t="shared" si="2"/>
        <v>57.174119999999995</v>
      </c>
      <c r="K27" s="185"/>
      <c r="L27" s="185"/>
      <c r="M27" s="191">
        <v>294.23</v>
      </c>
      <c r="N27" s="195">
        <f t="shared" si="1"/>
        <v>237.05588000000003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2"/>
      <c r="Z27" s="23"/>
    </row>
    <row r="28" spans="2:26" ht="12.75" customHeight="1">
      <c r="B28" s="120">
        <v>21</v>
      </c>
      <c r="C28" s="58" t="s">
        <v>103</v>
      </c>
      <c r="D28" s="47" t="s">
        <v>101</v>
      </c>
      <c r="E28" s="52">
        <v>17</v>
      </c>
      <c r="F28" s="124">
        <v>30266.3</v>
      </c>
      <c r="G28" s="491">
        <v>7.6</v>
      </c>
      <c r="H28" s="165">
        <v>1201</v>
      </c>
      <c r="I28" s="185"/>
      <c r="J28" s="185">
        <f t="shared" si="2"/>
        <v>72.20411999999999</v>
      </c>
      <c r="K28" s="185"/>
      <c r="L28" s="185"/>
      <c r="M28" s="191">
        <v>446.93</v>
      </c>
      <c r="N28" s="195">
        <f t="shared" si="1"/>
        <v>374.72588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2"/>
      <c r="Z28" s="20"/>
    </row>
    <row r="29" spans="2:14" ht="12.75" customHeight="1">
      <c r="B29" s="120">
        <v>22</v>
      </c>
      <c r="C29" s="58" t="s">
        <v>65</v>
      </c>
      <c r="D29" s="47" t="s">
        <v>113</v>
      </c>
      <c r="E29" s="52">
        <v>19</v>
      </c>
      <c r="F29" s="124">
        <v>24146</v>
      </c>
      <c r="G29" s="113">
        <v>7.6</v>
      </c>
      <c r="H29" s="160">
        <v>690</v>
      </c>
      <c r="I29" s="185"/>
      <c r="J29" s="185">
        <f t="shared" si="2"/>
        <v>41.4828</v>
      </c>
      <c r="K29" s="185">
        <v>116</v>
      </c>
      <c r="L29" s="185">
        <f>K29*60.12/1000</f>
        <v>6.97392</v>
      </c>
      <c r="M29" s="191">
        <v>347.02</v>
      </c>
      <c r="N29" s="195">
        <f>M29-I29-J29-L29</f>
        <v>298.56327999999996</v>
      </c>
    </row>
    <row r="30" spans="2:26" ht="12.75" customHeight="1">
      <c r="B30" s="120">
        <v>23</v>
      </c>
      <c r="C30" s="58" t="s">
        <v>63</v>
      </c>
      <c r="D30" s="48" t="s">
        <v>101</v>
      </c>
      <c r="E30" s="52">
        <v>29</v>
      </c>
      <c r="F30" s="124">
        <v>20258.6</v>
      </c>
      <c r="G30" s="113">
        <v>6.35</v>
      </c>
      <c r="H30" s="160">
        <f>482+533</f>
        <v>1015</v>
      </c>
      <c r="I30" s="185">
        <f t="shared" si="0"/>
        <v>78.8655</v>
      </c>
      <c r="J30" s="185"/>
      <c r="K30" s="185"/>
      <c r="L30" s="185"/>
      <c r="M30" s="190">
        <v>321.53</v>
      </c>
      <c r="N30" s="195">
        <f t="shared" si="1"/>
        <v>242.66449999999998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2"/>
      <c r="Z30" s="20"/>
    </row>
    <row r="31" spans="2:26" ht="12.75" customHeight="1">
      <c r="B31" s="120">
        <v>24</v>
      </c>
      <c r="C31" s="58" t="s">
        <v>55</v>
      </c>
      <c r="D31" s="47" t="s">
        <v>101</v>
      </c>
      <c r="E31" s="52">
        <v>31</v>
      </c>
      <c r="F31" s="124">
        <v>6735.1</v>
      </c>
      <c r="G31" s="160">
        <v>6.15</v>
      </c>
      <c r="H31" s="160">
        <v>347</v>
      </c>
      <c r="I31" s="185">
        <f t="shared" si="0"/>
        <v>26.9619</v>
      </c>
      <c r="J31" s="185"/>
      <c r="K31" s="185"/>
      <c r="L31" s="185"/>
      <c r="M31" s="190">
        <v>103.21</v>
      </c>
      <c r="N31" s="195">
        <f t="shared" si="1"/>
        <v>76.2481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2"/>
      <c r="Z31" s="23"/>
    </row>
    <row r="32" spans="2:26" ht="12.75" customHeight="1">
      <c r="B32" s="120">
        <v>25</v>
      </c>
      <c r="C32" s="58" t="s">
        <v>84</v>
      </c>
      <c r="D32" s="47" t="s">
        <v>85</v>
      </c>
      <c r="E32" s="52">
        <v>27</v>
      </c>
      <c r="F32" s="124">
        <v>13989.3</v>
      </c>
      <c r="G32" s="113">
        <v>5.8</v>
      </c>
      <c r="H32" s="160">
        <f>495+400</f>
        <v>895</v>
      </c>
      <c r="I32" s="185">
        <f t="shared" si="0"/>
        <v>69.5415</v>
      </c>
      <c r="J32" s="185"/>
      <c r="K32" s="185"/>
      <c r="L32" s="185"/>
      <c r="M32" s="190">
        <v>218.52</v>
      </c>
      <c r="N32" s="195">
        <f t="shared" si="1"/>
        <v>148.9785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2"/>
      <c r="Z32" s="20"/>
    </row>
    <row r="33" spans="2:26" ht="12.75" customHeight="1">
      <c r="B33" s="120">
        <v>26</v>
      </c>
      <c r="C33" s="58" t="s">
        <v>2</v>
      </c>
      <c r="D33" s="47" t="s">
        <v>85</v>
      </c>
      <c r="E33" s="52">
        <v>29</v>
      </c>
      <c r="F33" s="124">
        <v>13695.4</v>
      </c>
      <c r="G33" s="113">
        <v>5.86</v>
      </c>
      <c r="H33" s="160">
        <v>747</v>
      </c>
      <c r="I33" s="185">
        <f t="shared" si="0"/>
        <v>58.0419</v>
      </c>
      <c r="J33" s="185"/>
      <c r="K33" s="185"/>
      <c r="L33" s="185"/>
      <c r="M33" s="190">
        <v>204.9</v>
      </c>
      <c r="N33" s="195">
        <f t="shared" si="1"/>
        <v>146.8581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2"/>
      <c r="Z33" s="20"/>
    </row>
    <row r="34" spans="2:26" ht="12.75" customHeight="1">
      <c r="B34" s="120">
        <v>27</v>
      </c>
      <c r="C34" s="58" t="s">
        <v>3</v>
      </c>
      <c r="D34" s="47" t="s">
        <v>85</v>
      </c>
      <c r="E34" s="52">
        <v>31</v>
      </c>
      <c r="F34" s="124">
        <v>6360.3</v>
      </c>
      <c r="G34" s="113">
        <v>7.55</v>
      </c>
      <c r="H34" s="160">
        <v>364</v>
      </c>
      <c r="I34" s="185">
        <f t="shared" si="0"/>
        <v>28.282799999999998</v>
      </c>
      <c r="J34" s="185"/>
      <c r="K34" s="185"/>
      <c r="L34" s="185"/>
      <c r="M34" s="190">
        <v>108.69</v>
      </c>
      <c r="N34" s="195">
        <f t="shared" si="1"/>
        <v>80.4072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2"/>
      <c r="Z34" s="20"/>
    </row>
    <row r="35" spans="2:14" ht="12.75" customHeight="1">
      <c r="B35" s="120">
        <v>28</v>
      </c>
      <c r="C35" s="58" t="s">
        <v>4</v>
      </c>
      <c r="D35" s="47" t="s">
        <v>113</v>
      </c>
      <c r="E35" s="52" t="s">
        <v>114</v>
      </c>
      <c r="F35" s="124">
        <v>12946.5</v>
      </c>
      <c r="G35" s="113">
        <v>6.27</v>
      </c>
      <c r="H35" s="160">
        <v>559</v>
      </c>
      <c r="I35" s="185">
        <f t="shared" si="0"/>
        <v>43.4343</v>
      </c>
      <c r="J35" s="185"/>
      <c r="K35" s="185"/>
      <c r="L35" s="185"/>
      <c r="M35" s="190">
        <v>191.43</v>
      </c>
      <c r="N35" s="195">
        <f t="shared" si="1"/>
        <v>147.9957</v>
      </c>
    </row>
    <row r="36" spans="2:14" ht="12.75" customHeight="1">
      <c r="B36" s="120">
        <v>29</v>
      </c>
      <c r="C36" s="58" t="s">
        <v>5</v>
      </c>
      <c r="D36" s="47" t="s">
        <v>113</v>
      </c>
      <c r="E36" s="52">
        <v>35</v>
      </c>
      <c r="F36" s="124">
        <v>12207.7</v>
      </c>
      <c r="G36" s="113">
        <v>5.8</v>
      </c>
      <c r="H36" s="160">
        <v>566</v>
      </c>
      <c r="I36" s="185">
        <f t="shared" si="0"/>
        <v>43.9782</v>
      </c>
      <c r="J36" s="185"/>
      <c r="K36" s="185"/>
      <c r="L36" s="185"/>
      <c r="M36" s="190">
        <v>209.08</v>
      </c>
      <c r="N36" s="195">
        <f t="shared" si="1"/>
        <v>165.10180000000003</v>
      </c>
    </row>
    <row r="37" spans="2:14" ht="12.75" customHeight="1">
      <c r="B37" s="120">
        <v>30</v>
      </c>
      <c r="C37" s="58" t="s">
        <v>6</v>
      </c>
      <c r="D37" s="47" t="s">
        <v>113</v>
      </c>
      <c r="E37" s="52">
        <v>39</v>
      </c>
      <c r="F37" s="124">
        <v>4902.2</v>
      </c>
      <c r="G37" s="113">
        <v>7.65</v>
      </c>
      <c r="H37" s="160">
        <v>239</v>
      </c>
      <c r="I37" s="185">
        <f t="shared" si="0"/>
        <v>18.5703</v>
      </c>
      <c r="J37" s="185"/>
      <c r="K37" s="185"/>
      <c r="L37" s="185"/>
      <c r="M37" s="190">
        <v>76.62</v>
      </c>
      <c r="N37" s="195">
        <f t="shared" si="1"/>
        <v>58.0497</v>
      </c>
    </row>
    <row r="38" spans="2:26" ht="12.75" customHeight="1">
      <c r="B38" s="120">
        <v>31</v>
      </c>
      <c r="C38" s="58" t="s">
        <v>64</v>
      </c>
      <c r="D38" s="47" t="s">
        <v>101</v>
      </c>
      <c r="E38" s="52">
        <v>33</v>
      </c>
      <c r="F38" s="124">
        <v>19674.8</v>
      </c>
      <c r="G38" s="160">
        <v>6.04</v>
      </c>
      <c r="H38" s="160">
        <f>503+456</f>
        <v>959</v>
      </c>
      <c r="I38" s="185">
        <f t="shared" si="0"/>
        <v>74.5143</v>
      </c>
      <c r="J38" s="185"/>
      <c r="K38" s="185"/>
      <c r="L38" s="185"/>
      <c r="M38" s="190">
        <v>303.54</v>
      </c>
      <c r="N38" s="195">
        <f t="shared" si="1"/>
        <v>229.02570000000003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14" ht="12.75" customHeight="1">
      <c r="B39" s="120">
        <v>32</v>
      </c>
      <c r="C39" s="58" t="s">
        <v>7</v>
      </c>
      <c r="D39" s="47" t="s">
        <v>101</v>
      </c>
      <c r="E39" s="52">
        <v>35</v>
      </c>
      <c r="F39" s="124">
        <v>10939</v>
      </c>
      <c r="G39" s="113">
        <v>6.65</v>
      </c>
      <c r="H39" s="160">
        <v>537</v>
      </c>
      <c r="I39" s="185">
        <f t="shared" si="0"/>
        <v>41.7249</v>
      </c>
      <c r="J39" s="185"/>
      <c r="K39" s="185"/>
      <c r="L39" s="185"/>
      <c r="M39" s="190">
        <v>162.45</v>
      </c>
      <c r="N39" s="195">
        <f t="shared" si="1"/>
        <v>120.7251</v>
      </c>
    </row>
    <row r="40" spans="2:26" ht="12.75" customHeight="1">
      <c r="B40" s="120">
        <v>33</v>
      </c>
      <c r="C40" s="58" t="s">
        <v>8</v>
      </c>
      <c r="D40" s="47" t="s">
        <v>85</v>
      </c>
      <c r="E40" s="52">
        <v>33</v>
      </c>
      <c r="F40" s="124">
        <v>6730.4</v>
      </c>
      <c r="G40" s="113">
        <v>7.03</v>
      </c>
      <c r="H40" s="160">
        <v>393</v>
      </c>
      <c r="I40" s="185">
        <f t="shared" si="0"/>
        <v>30.5361</v>
      </c>
      <c r="J40" s="185"/>
      <c r="K40" s="185"/>
      <c r="L40" s="185"/>
      <c r="M40" s="190">
        <v>116.57</v>
      </c>
      <c r="N40" s="195">
        <f t="shared" si="1"/>
        <v>86.03389999999999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3"/>
    </row>
    <row r="41" spans="2:26" ht="12.75" customHeight="1">
      <c r="B41" s="120">
        <v>34</v>
      </c>
      <c r="C41" s="58" t="s">
        <v>9</v>
      </c>
      <c r="D41" s="47" t="s">
        <v>106</v>
      </c>
      <c r="E41" s="52">
        <v>45</v>
      </c>
      <c r="F41" s="124">
        <v>6586.2</v>
      </c>
      <c r="G41" s="83">
        <v>5.93</v>
      </c>
      <c r="H41" s="160">
        <v>358</v>
      </c>
      <c r="I41" s="185">
        <f t="shared" si="0"/>
        <v>27.8166</v>
      </c>
      <c r="J41" s="185"/>
      <c r="K41" s="185"/>
      <c r="L41" s="185"/>
      <c r="M41" s="190">
        <v>97.83</v>
      </c>
      <c r="N41" s="195">
        <f t="shared" si="1"/>
        <v>70.01339999999999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14" ht="12.75" customHeight="1">
      <c r="B42" s="120">
        <v>35</v>
      </c>
      <c r="C42" s="58" t="s">
        <v>10</v>
      </c>
      <c r="D42" s="47" t="s">
        <v>113</v>
      </c>
      <c r="E42" s="52" t="s">
        <v>115</v>
      </c>
      <c r="F42" s="124">
        <v>2378.8</v>
      </c>
      <c r="G42" s="113">
        <v>7.67</v>
      </c>
      <c r="H42" s="160">
        <v>131</v>
      </c>
      <c r="I42" s="185">
        <f t="shared" si="0"/>
        <v>10.178700000000001</v>
      </c>
      <c r="J42" s="185"/>
      <c r="K42" s="185"/>
      <c r="L42" s="185"/>
      <c r="M42" s="190">
        <v>46.64</v>
      </c>
      <c r="N42" s="195">
        <f t="shared" si="1"/>
        <v>36.4613</v>
      </c>
    </row>
    <row r="43" spans="2:26" ht="12.75" customHeight="1">
      <c r="B43" s="120">
        <v>36</v>
      </c>
      <c r="C43" s="58" t="s">
        <v>100</v>
      </c>
      <c r="D43" s="47" t="s">
        <v>98</v>
      </c>
      <c r="E43" s="52">
        <v>138</v>
      </c>
      <c r="F43" s="124">
        <v>7175.7</v>
      </c>
      <c r="G43" s="113">
        <v>8.29</v>
      </c>
      <c r="H43" s="160">
        <v>225</v>
      </c>
      <c r="I43" s="185">
        <f t="shared" si="0"/>
        <v>17.4825</v>
      </c>
      <c r="J43" s="185"/>
      <c r="K43" s="185"/>
      <c r="L43" s="185"/>
      <c r="M43" s="190">
        <v>104.83</v>
      </c>
      <c r="N43" s="195">
        <f t="shared" si="1"/>
        <v>87.3475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2"/>
      <c r="Z43" s="20"/>
    </row>
    <row r="44" spans="2:26" ht="12.75" customHeight="1">
      <c r="B44" s="120">
        <v>37</v>
      </c>
      <c r="C44" s="58" t="s">
        <v>58</v>
      </c>
      <c r="D44" s="49" t="s">
        <v>98</v>
      </c>
      <c r="E44" s="53" t="s">
        <v>99</v>
      </c>
      <c r="F44" s="131">
        <v>4256.7</v>
      </c>
      <c r="G44" s="113">
        <v>7.6</v>
      </c>
      <c r="H44" s="160">
        <v>196</v>
      </c>
      <c r="I44" s="185">
        <f t="shared" si="0"/>
        <v>15.2292</v>
      </c>
      <c r="J44" s="185"/>
      <c r="K44" s="185"/>
      <c r="L44" s="185"/>
      <c r="M44" s="187">
        <v>127.54</v>
      </c>
      <c r="N44" s="195">
        <f t="shared" si="1"/>
        <v>112.3108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2"/>
      <c r="Z44" s="20"/>
    </row>
    <row r="45" spans="2:26" ht="12.75" customHeight="1">
      <c r="B45" s="120">
        <v>38</v>
      </c>
      <c r="C45" s="58" t="s">
        <v>12</v>
      </c>
      <c r="D45" s="47" t="s">
        <v>75</v>
      </c>
      <c r="E45" s="52">
        <v>59</v>
      </c>
      <c r="F45" s="124">
        <v>5797</v>
      </c>
      <c r="G45" s="161">
        <v>8.67</v>
      </c>
      <c r="H45" s="160">
        <v>282</v>
      </c>
      <c r="I45" s="185">
        <f t="shared" si="0"/>
        <v>21.9114</v>
      </c>
      <c r="J45" s="185"/>
      <c r="K45" s="185"/>
      <c r="L45" s="185"/>
      <c r="M45" s="190">
        <v>104.92</v>
      </c>
      <c r="N45" s="195">
        <f t="shared" si="1"/>
        <v>83.0086</v>
      </c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22"/>
      <c r="Z45" s="20"/>
    </row>
    <row r="46" spans="2:26" ht="12.75" customHeight="1">
      <c r="B46" s="120">
        <v>39</v>
      </c>
      <c r="C46" s="58" t="s">
        <v>134</v>
      </c>
      <c r="D46" s="47" t="s">
        <v>75</v>
      </c>
      <c r="E46" s="52" t="s">
        <v>115</v>
      </c>
      <c r="F46" s="124">
        <v>5325.4</v>
      </c>
      <c r="G46" s="161">
        <v>7.6</v>
      </c>
      <c r="H46" s="160">
        <v>79</v>
      </c>
      <c r="I46" s="185"/>
      <c r="J46" s="185">
        <f>H46*60.12/1000</f>
        <v>4.749479999999999</v>
      </c>
      <c r="K46" s="185"/>
      <c r="L46" s="185"/>
      <c r="M46" s="190">
        <v>83.58</v>
      </c>
      <c r="N46" s="195">
        <f t="shared" si="1"/>
        <v>78.83051999999999</v>
      </c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22"/>
      <c r="Z46" s="20"/>
    </row>
    <row r="47" spans="2:26" ht="12.75" customHeight="1">
      <c r="B47" s="120">
        <v>40</v>
      </c>
      <c r="C47" s="58" t="s">
        <v>13</v>
      </c>
      <c r="D47" s="47" t="s">
        <v>76</v>
      </c>
      <c r="E47" s="52">
        <v>5</v>
      </c>
      <c r="F47" s="124">
        <v>11675.3</v>
      </c>
      <c r="G47" s="113">
        <v>6.12</v>
      </c>
      <c r="H47" s="160">
        <v>761</v>
      </c>
      <c r="I47" s="185">
        <f t="shared" si="0"/>
        <v>59.12970000000001</v>
      </c>
      <c r="J47" s="185"/>
      <c r="K47" s="185"/>
      <c r="L47" s="185"/>
      <c r="M47" s="190">
        <v>201.14</v>
      </c>
      <c r="N47" s="195">
        <f t="shared" si="1"/>
        <v>142.01029999999997</v>
      </c>
      <c r="O47" s="20"/>
      <c r="P47" s="20"/>
      <c r="Q47" s="20"/>
      <c r="R47" s="20"/>
      <c r="S47" s="20"/>
      <c r="T47" s="20"/>
      <c r="U47" s="20"/>
      <c r="V47" s="20"/>
      <c r="W47" s="20"/>
      <c r="X47" s="21"/>
      <c r="Y47" s="22"/>
      <c r="Z47" s="20"/>
    </row>
    <row r="48" spans="2:26" ht="12.75" customHeight="1">
      <c r="B48" s="120">
        <v>41</v>
      </c>
      <c r="C48" s="58" t="s">
        <v>14</v>
      </c>
      <c r="D48" s="47" t="s">
        <v>76</v>
      </c>
      <c r="E48" s="52" t="s">
        <v>77</v>
      </c>
      <c r="F48" s="124">
        <v>3803.7</v>
      </c>
      <c r="G48" s="113">
        <v>6.84</v>
      </c>
      <c r="H48" s="160">
        <v>212</v>
      </c>
      <c r="I48" s="185">
        <f t="shared" si="0"/>
        <v>16.4724</v>
      </c>
      <c r="J48" s="185"/>
      <c r="K48" s="185"/>
      <c r="L48" s="185"/>
      <c r="M48" s="190">
        <v>68.7</v>
      </c>
      <c r="N48" s="195">
        <f t="shared" si="1"/>
        <v>52.2276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2"/>
      <c r="Z48" s="20"/>
    </row>
    <row r="49" spans="2:26" ht="12.75" customHeight="1">
      <c r="B49" s="120">
        <v>42</v>
      </c>
      <c r="C49" s="58" t="s">
        <v>15</v>
      </c>
      <c r="D49" s="47" t="s">
        <v>86</v>
      </c>
      <c r="E49" s="52" t="s">
        <v>87</v>
      </c>
      <c r="F49" s="124">
        <v>13733.1</v>
      </c>
      <c r="G49" s="113">
        <v>4.7</v>
      </c>
      <c r="H49" s="160">
        <v>780</v>
      </c>
      <c r="I49" s="185">
        <f t="shared" si="0"/>
        <v>60.606</v>
      </c>
      <c r="J49" s="185"/>
      <c r="K49" s="185"/>
      <c r="L49" s="185"/>
      <c r="M49" s="190">
        <v>287.63</v>
      </c>
      <c r="N49" s="195">
        <f t="shared" si="1"/>
        <v>227.024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2"/>
      <c r="Z49" s="20"/>
    </row>
    <row r="50" spans="2:26" ht="12.75" customHeight="1">
      <c r="B50" s="120">
        <v>43</v>
      </c>
      <c r="C50" s="58" t="s">
        <v>90</v>
      </c>
      <c r="D50" s="47" t="s">
        <v>86</v>
      </c>
      <c r="E50" s="52" t="s">
        <v>91</v>
      </c>
      <c r="F50" s="124">
        <v>8981.6</v>
      </c>
      <c r="G50" s="160">
        <v>6.95</v>
      </c>
      <c r="H50" s="160">
        <v>540</v>
      </c>
      <c r="I50" s="185">
        <f t="shared" si="0"/>
        <v>41.958</v>
      </c>
      <c r="J50" s="185"/>
      <c r="K50" s="185"/>
      <c r="L50" s="185"/>
      <c r="M50" s="190">
        <v>157.46</v>
      </c>
      <c r="N50" s="195">
        <f t="shared" si="1"/>
        <v>115.50200000000001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20"/>
    </row>
    <row r="51" spans="2:26" ht="12.75" customHeight="1">
      <c r="B51" s="120">
        <v>44</v>
      </c>
      <c r="C51" s="58" t="s">
        <v>88</v>
      </c>
      <c r="D51" s="47" t="s">
        <v>86</v>
      </c>
      <c r="E51" s="52" t="s">
        <v>89</v>
      </c>
      <c r="F51" s="124">
        <v>4789.4</v>
      </c>
      <c r="G51" s="113">
        <v>7.35</v>
      </c>
      <c r="H51" s="160">
        <v>308</v>
      </c>
      <c r="I51" s="185">
        <f t="shared" si="0"/>
        <v>23.931600000000003</v>
      </c>
      <c r="J51" s="185"/>
      <c r="K51" s="185"/>
      <c r="L51" s="185"/>
      <c r="M51" s="190">
        <v>82.54</v>
      </c>
      <c r="N51" s="195">
        <f t="shared" si="1"/>
        <v>58.6084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2"/>
      <c r="Z51" s="20"/>
    </row>
    <row r="52" spans="2:26" ht="12.75" customHeight="1">
      <c r="B52" s="120">
        <v>45</v>
      </c>
      <c r="C52" s="58" t="s">
        <v>92</v>
      </c>
      <c r="D52" s="47" t="s">
        <v>86</v>
      </c>
      <c r="E52" s="52" t="s">
        <v>93</v>
      </c>
      <c r="F52" s="124">
        <v>5273.8</v>
      </c>
      <c r="G52" s="113">
        <v>6.6</v>
      </c>
      <c r="H52" s="160">
        <v>198</v>
      </c>
      <c r="I52" s="185">
        <f t="shared" si="0"/>
        <v>15.3846</v>
      </c>
      <c r="J52" s="185"/>
      <c r="K52" s="185"/>
      <c r="L52" s="185"/>
      <c r="M52" s="190">
        <v>68.68</v>
      </c>
      <c r="N52" s="195">
        <f t="shared" si="1"/>
        <v>53.29540000000001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2"/>
      <c r="Z52" s="20"/>
    </row>
    <row r="53" spans="2:29" ht="12.75" customHeight="1">
      <c r="B53" s="120">
        <v>46</v>
      </c>
      <c r="C53" s="58" t="s">
        <v>19</v>
      </c>
      <c r="D53" s="47" t="s">
        <v>83</v>
      </c>
      <c r="E53" s="52">
        <v>108</v>
      </c>
      <c r="F53" s="124">
        <v>11125.8</v>
      </c>
      <c r="G53" s="113">
        <v>5.78</v>
      </c>
      <c r="H53" s="160">
        <v>655</v>
      </c>
      <c r="I53" s="185">
        <f t="shared" si="0"/>
        <v>50.8935</v>
      </c>
      <c r="J53" s="185"/>
      <c r="K53" s="185"/>
      <c r="L53" s="185"/>
      <c r="M53" s="190">
        <v>194.3</v>
      </c>
      <c r="N53" s="195">
        <f t="shared" si="1"/>
        <v>143.4065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2"/>
      <c r="Z53" s="20"/>
      <c r="AC53" s="1"/>
    </row>
    <row r="54" spans="2:29" ht="12.75" customHeight="1">
      <c r="B54" s="120">
        <v>47</v>
      </c>
      <c r="C54" s="58" t="s">
        <v>70</v>
      </c>
      <c r="D54" s="47" t="s">
        <v>83</v>
      </c>
      <c r="E54" s="52">
        <v>120</v>
      </c>
      <c r="F54" s="124">
        <v>6713.5</v>
      </c>
      <c r="G54" s="113">
        <v>6.11</v>
      </c>
      <c r="H54" s="160">
        <v>357</v>
      </c>
      <c r="I54" s="185"/>
      <c r="J54" s="185">
        <f>H54*60.12/1000</f>
        <v>21.46284</v>
      </c>
      <c r="K54" s="185"/>
      <c r="L54" s="185"/>
      <c r="M54" s="190">
        <v>113.15</v>
      </c>
      <c r="N54" s="195">
        <f t="shared" si="1"/>
        <v>91.68716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2"/>
      <c r="Z54" s="20"/>
      <c r="AC54" s="1"/>
    </row>
    <row r="55" spans="2:29" ht="12.75" customHeight="1">
      <c r="B55" s="120">
        <v>48</v>
      </c>
      <c r="C55" s="58" t="s">
        <v>135</v>
      </c>
      <c r="D55" s="47" t="s">
        <v>83</v>
      </c>
      <c r="E55" s="52">
        <v>124</v>
      </c>
      <c r="F55" s="124">
        <v>6718.7</v>
      </c>
      <c r="G55" s="113">
        <v>6.11</v>
      </c>
      <c r="H55" s="160">
        <v>433</v>
      </c>
      <c r="I55" s="185"/>
      <c r="J55" s="185">
        <f>H55*60.12/1000</f>
        <v>26.031959999999998</v>
      </c>
      <c r="K55" s="185"/>
      <c r="L55" s="185"/>
      <c r="M55" s="190">
        <v>131.44</v>
      </c>
      <c r="N55" s="195">
        <f t="shared" si="1"/>
        <v>105.40804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2"/>
      <c r="Z55" s="20"/>
      <c r="AC55" s="1"/>
    </row>
    <row r="56" spans="2:29" ht="12.75" customHeight="1">
      <c r="B56" s="120">
        <v>49</v>
      </c>
      <c r="C56" s="58" t="s">
        <v>136</v>
      </c>
      <c r="D56" s="47" t="s">
        <v>83</v>
      </c>
      <c r="E56" s="52">
        <v>128</v>
      </c>
      <c r="F56" s="124">
        <v>6706.5</v>
      </c>
      <c r="G56" s="113">
        <v>6.11</v>
      </c>
      <c r="H56" s="160">
        <v>211</v>
      </c>
      <c r="I56" s="185"/>
      <c r="J56" s="185">
        <f>H56*60.12/1000</f>
        <v>12.685319999999999</v>
      </c>
      <c r="K56" s="185"/>
      <c r="L56" s="185"/>
      <c r="M56" s="190">
        <v>133.88</v>
      </c>
      <c r="N56" s="195">
        <f t="shared" si="1"/>
        <v>121.19467999999999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2"/>
      <c r="Z56" s="20"/>
      <c r="AC56" s="1"/>
    </row>
    <row r="57" spans="2:26" ht="12.75" customHeight="1">
      <c r="B57" s="120">
        <v>50</v>
      </c>
      <c r="C57" s="58" t="s">
        <v>20</v>
      </c>
      <c r="D57" s="47" t="s">
        <v>83</v>
      </c>
      <c r="E57" s="52">
        <v>110</v>
      </c>
      <c r="F57" s="124">
        <v>11638.3</v>
      </c>
      <c r="G57" s="113">
        <v>6.56</v>
      </c>
      <c r="H57" s="160">
        <v>488</v>
      </c>
      <c r="I57" s="185">
        <f t="shared" si="0"/>
        <v>37.9176</v>
      </c>
      <c r="J57" s="185"/>
      <c r="K57" s="185"/>
      <c r="L57" s="185"/>
      <c r="M57" s="190">
        <v>188.81</v>
      </c>
      <c r="N57" s="195">
        <f t="shared" si="1"/>
        <v>150.8924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2"/>
      <c r="Z57" s="23"/>
    </row>
    <row r="58" spans="2:26" ht="12.75" customHeight="1">
      <c r="B58" s="120">
        <v>51</v>
      </c>
      <c r="C58" s="58" t="s">
        <v>21</v>
      </c>
      <c r="D58" s="47" t="s">
        <v>83</v>
      </c>
      <c r="E58" s="52">
        <v>114</v>
      </c>
      <c r="F58" s="124">
        <v>9185</v>
      </c>
      <c r="G58" s="113">
        <v>6.28</v>
      </c>
      <c r="H58" s="160">
        <v>507</v>
      </c>
      <c r="I58" s="185">
        <f t="shared" si="0"/>
        <v>39.3939</v>
      </c>
      <c r="J58" s="185"/>
      <c r="K58" s="185"/>
      <c r="L58" s="185"/>
      <c r="M58" s="190">
        <v>150.08</v>
      </c>
      <c r="N58" s="195">
        <f t="shared" si="1"/>
        <v>110.68610000000001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2"/>
      <c r="Z58" s="23"/>
    </row>
    <row r="59" spans="2:26" ht="12.75" customHeight="1">
      <c r="B59" s="120">
        <v>52</v>
      </c>
      <c r="C59" s="58" t="s">
        <v>22</v>
      </c>
      <c r="D59" s="47" t="s">
        <v>83</v>
      </c>
      <c r="E59" s="52">
        <v>118</v>
      </c>
      <c r="F59" s="124">
        <v>9190.4</v>
      </c>
      <c r="G59" s="113">
        <v>6.26</v>
      </c>
      <c r="H59" s="160">
        <v>498</v>
      </c>
      <c r="I59" s="185">
        <f t="shared" si="0"/>
        <v>38.6946</v>
      </c>
      <c r="J59" s="185"/>
      <c r="K59" s="185"/>
      <c r="L59" s="185"/>
      <c r="M59" s="190">
        <v>155.73</v>
      </c>
      <c r="N59" s="195">
        <f t="shared" si="1"/>
        <v>117.03539999999998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2"/>
      <c r="Z59" s="20"/>
    </row>
    <row r="60" spans="2:26" ht="12.75" customHeight="1">
      <c r="B60" s="120">
        <v>53</v>
      </c>
      <c r="C60" s="58" t="s">
        <v>23</v>
      </c>
      <c r="D60" s="47" t="s">
        <v>83</v>
      </c>
      <c r="E60" s="52">
        <v>122</v>
      </c>
      <c r="F60" s="124">
        <v>9187.9</v>
      </c>
      <c r="G60" s="113">
        <v>5.38</v>
      </c>
      <c r="H60" s="160">
        <v>537</v>
      </c>
      <c r="I60" s="185">
        <f t="shared" si="0"/>
        <v>41.7249</v>
      </c>
      <c r="J60" s="185"/>
      <c r="K60" s="185"/>
      <c r="L60" s="185"/>
      <c r="M60" s="190">
        <v>131.02</v>
      </c>
      <c r="N60" s="195">
        <f t="shared" si="1"/>
        <v>89.29510000000002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2"/>
      <c r="Z60" s="23"/>
    </row>
    <row r="61" spans="2:26" ht="12.75" customHeight="1">
      <c r="B61" s="120">
        <v>54</v>
      </c>
      <c r="C61" s="58" t="s">
        <v>24</v>
      </c>
      <c r="D61" s="47" t="s">
        <v>83</v>
      </c>
      <c r="E61" s="52">
        <v>126</v>
      </c>
      <c r="F61" s="124">
        <v>9187.1</v>
      </c>
      <c r="G61" s="113">
        <v>6.03</v>
      </c>
      <c r="H61" s="160">
        <v>541</v>
      </c>
      <c r="I61" s="185">
        <f t="shared" si="0"/>
        <v>42.035700000000006</v>
      </c>
      <c r="J61" s="185"/>
      <c r="K61" s="185"/>
      <c r="L61" s="185"/>
      <c r="M61" s="190">
        <v>146.43</v>
      </c>
      <c r="N61" s="195">
        <f t="shared" si="1"/>
        <v>104.3943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2"/>
      <c r="Z61" s="20"/>
    </row>
    <row r="62" spans="2:26" ht="12.75" customHeight="1">
      <c r="B62" s="120">
        <v>55</v>
      </c>
      <c r="C62" s="58" t="s">
        <v>81</v>
      </c>
      <c r="D62" s="47" t="s">
        <v>79</v>
      </c>
      <c r="E62" s="52" t="s">
        <v>82</v>
      </c>
      <c r="F62" s="124">
        <v>6886.8</v>
      </c>
      <c r="G62" s="113">
        <v>5.66</v>
      </c>
      <c r="H62" s="160">
        <v>285</v>
      </c>
      <c r="I62" s="185">
        <f t="shared" si="0"/>
        <v>22.1445</v>
      </c>
      <c r="J62" s="185"/>
      <c r="K62" s="185"/>
      <c r="L62" s="185"/>
      <c r="M62" s="190">
        <v>100.26</v>
      </c>
      <c r="N62" s="195">
        <f t="shared" si="1"/>
        <v>78.1155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2"/>
      <c r="Z62" s="23"/>
    </row>
    <row r="63" spans="2:30" ht="14.25" customHeight="1" thickBot="1">
      <c r="B63" s="121">
        <v>56</v>
      </c>
      <c r="C63" s="59" t="s">
        <v>78</v>
      </c>
      <c r="D63" s="50" t="s">
        <v>79</v>
      </c>
      <c r="E63" s="54" t="s">
        <v>80</v>
      </c>
      <c r="F63" s="134">
        <v>4261.1</v>
      </c>
      <c r="G63" s="492">
        <v>7.72</v>
      </c>
      <c r="H63" s="173">
        <v>224</v>
      </c>
      <c r="I63" s="185">
        <f t="shared" si="0"/>
        <v>17.404799999999998</v>
      </c>
      <c r="J63" s="270"/>
      <c r="K63" s="270"/>
      <c r="L63" s="270"/>
      <c r="M63" s="192">
        <v>66.39</v>
      </c>
      <c r="N63" s="195">
        <f t="shared" si="1"/>
        <v>48.985200000000006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2"/>
      <c r="Z63" s="20"/>
      <c r="AD63" s="1"/>
    </row>
    <row r="64" spans="2:14" ht="13.5" thickBot="1">
      <c r="B64" s="85"/>
      <c r="C64" s="10"/>
      <c r="D64" s="10"/>
      <c r="E64" s="8"/>
      <c r="F64" s="135">
        <f>SUM(F8:F63)</f>
        <v>528158.0000000001</v>
      </c>
      <c r="G64" s="79"/>
      <c r="H64" s="245">
        <f aca="true" t="shared" si="3" ref="H64:N64">SUM(H8:H63)</f>
        <v>25475</v>
      </c>
      <c r="I64" s="56">
        <f t="shared" si="3"/>
        <v>1277.4657</v>
      </c>
      <c r="J64" s="271">
        <f t="shared" si="3"/>
        <v>543.12408</v>
      </c>
      <c r="K64" s="56"/>
      <c r="L64" s="271"/>
      <c r="M64" s="9">
        <f t="shared" si="3"/>
        <v>9030.99</v>
      </c>
      <c r="N64" s="56">
        <f t="shared" si="3"/>
        <v>7202.223900000002</v>
      </c>
    </row>
    <row r="65" ht="12.75">
      <c r="F65" s="67"/>
    </row>
  </sheetData>
  <sheetProtection/>
  <mergeCells count="11">
    <mergeCell ref="K6:K7"/>
    <mergeCell ref="L6:L7"/>
    <mergeCell ref="C5:C6"/>
    <mergeCell ref="J6:J7"/>
    <mergeCell ref="F5:F6"/>
    <mergeCell ref="G5:G6"/>
    <mergeCell ref="H5:N5"/>
    <mergeCell ref="H6:H7"/>
    <mergeCell ref="M6:M7"/>
    <mergeCell ref="N6:N7"/>
    <mergeCell ref="I6:I7"/>
  </mergeCells>
  <printOptions/>
  <pageMargins left="0.16" right="0.11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1.625" style="0" hidden="1" customWidth="1"/>
    <col min="2" max="2" width="3.375" style="0" customWidth="1"/>
    <col min="3" max="3" width="13.00390625" style="0" customWidth="1"/>
    <col min="4" max="4" width="9.75390625" style="0" customWidth="1"/>
    <col min="5" max="5" width="7.25390625" style="0" customWidth="1"/>
    <col min="6" max="6" width="7.375" style="0" customWidth="1"/>
    <col min="7" max="10" width="8.25390625" style="0" customWidth="1"/>
    <col min="11" max="11" width="7.75390625" style="0" customWidth="1"/>
    <col min="12" max="12" width="8.25390625" style="0" customWidth="1"/>
    <col min="13" max="13" width="7.375" style="0" customWidth="1"/>
    <col min="14" max="14" width="7.25390625" style="0" customWidth="1"/>
    <col min="15" max="15" width="7.625" style="0" customWidth="1"/>
    <col min="16" max="16" width="7.25390625" style="0" customWidth="1"/>
    <col min="17" max="17" width="7.75390625" style="0" customWidth="1"/>
    <col min="18" max="18" width="7.25390625" style="0" customWidth="1"/>
    <col min="19" max="19" width="7.75390625" style="0" customWidth="1"/>
    <col min="20" max="21" width="7.375" style="0" customWidth="1"/>
    <col min="22" max="22" width="7.25390625" style="0" customWidth="1"/>
    <col min="23" max="23" width="7.875" style="0" customWidth="1"/>
    <col min="24" max="24" width="8.25390625" style="0" customWidth="1"/>
    <col min="25" max="25" width="9.375" style="0" customWidth="1"/>
    <col min="26" max="26" width="8.875" style="0" customWidth="1"/>
    <col min="27" max="27" width="8.625" style="0" hidden="1" customWidth="1"/>
    <col min="28" max="28" width="7.375" style="0" hidden="1" customWidth="1"/>
    <col min="29" max="29" width="9.25390625" style="0" hidden="1" customWidth="1"/>
    <col min="30" max="30" width="8.125" style="0" hidden="1" customWidth="1"/>
    <col min="31" max="31" width="12.375" style="0" hidden="1" customWidth="1"/>
    <col min="32" max="32" width="11.625" style="0" hidden="1" customWidth="1"/>
  </cols>
  <sheetData>
    <row r="1" spans="3:32" ht="24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3"/>
      <c r="U1" s="33"/>
      <c r="V1" s="1"/>
      <c r="W1" s="1"/>
      <c r="X1" s="1"/>
      <c r="Y1" s="1"/>
      <c r="Z1" s="1"/>
      <c r="AA1" s="1"/>
      <c r="AB1" s="1"/>
      <c r="AC1" s="1"/>
      <c r="AD1" s="1"/>
      <c r="AE1" s="1"/>
      <c r="AF1" s="7"/>
    </row>
    <row r="2" spans="2:32" ht="32.25" customHeight="1">
      <c r="B2" s="484"/>
      <c r="C2" s="484"/>
      <c r="D2" s="485" t="s">
        <v>187</v>
      </c>
      <c r="E2" s="485"/>
      <c r="F2" s="484"/>
      <c r="G2" s="484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4:5" ht="24" customHeight="1" thickBot="1">
      <c r="D3" s="1"/>
      <c r="E3" s="1"/>
    </row>
    <row r="4" spans="2:32" ht="15" customHeight="1" thickBot="1">
      <c r="B4" s="510" t="s">
        <v>39</v>
      </c>
      <c r="C4" s="510" t="s">
        <v>41</v>
      </c>
      <c r="D4" s="508" t="s">
        <v>43</v>
      </c>
      <c r="E4" s="499" t="s">
        <v>119</v>
      </c>
      <c r="F4" s="500"/>
      <c r="G4" s="499" t="s">
        <v>27</v>
      </c>
      <c r="H4" s="500"/>
      <c r="I4" s="499" t="s">
        <v>28</v>
      </c>
      <c r="J4" s="500"/>
      <c r="K4" s="499" t="s">
        <v>29</v>
      </c>
      <c r="L4" s="500"/>
      <c r="M4" s="499" t="s">
        <v>30</v>
      </c>
      <c r="N4" s="500"/>
      <c r="O4" s="499" t="s">
        <v>31</v>
      </c>
      <c r="P4" s="500"/>
      <c r="Q4" s="499" t="s">
        <v>32</v>
      </c>
      <c r="R4" s="500"/>
      <c r="S4" s="499" t="s">
        <v>33</v>
      </c>
      <c r="T4" s="500"/>
      <c r="U4" s="499" t="s">
        <v>34</v>
      </c>
      <c r="V4" s="500"/>
      <c r="W4" s="499" t="s">
        <v>35</v>
      </c>
      <c r="X4" s="500"/>
      <c r="Y4" s="499" t="s">
        <v>36</v>
      </c>
      <c r="Z4" s="500"/>
      <c r="AA4" s="499" t="s">
        <v>37</v>
      </c>
      <c r="AB4" s="500"/>
      <c r="AC4" s="499" t="s">
        <v>182</v>
      </c>
      <c r="AD4" s="500"/>
      <c r="AE4" s="499" t="s">
        <v>181</v>
      </c>
      <c r="AF4" s="500"/>
    </row>
    <row r="5" spans="2:32" ht="13.5" thickBot="1">
      <c r="B5" s="511"/>
      <c r="C5" s="511"/>
      <c r="D5" s="509"/>
      <c r="E5" s="417">
        <v>2011</v>
      </c>
      <c r="F5" s="446">
        <v>2012</v>
      </c>
      <c r="G5" s="417">
        <v>2011</v>
      </c>
      <c r="H5" s="446">
        <v>2012</v>
      </c>
      <c r="I5" s="417">
        <v>2011</v>
      </c>
      <c r="J5" s="446">
        <v>2012</v>
      </c>
      <c r="K5" s="417">
        <v>2011</v>
      </c>
      <c r="L5" s="446">
        <v>2012</v>
      </c>
      <c r="M5" s="417">
        <v>2011</v>
      </c>
      <c r="N5" s="446">
        <v>2012</v>
      </c>
      <c r="O5" s="417">
        <v>2011</v>
      </c>
      <c r="P5" s="446">
        <v>2012</v>
      </c>
      <c r="Q5" s="417">
        <v>2011</v>
      </c>
      <c r="R5" s="446">
        <v>2012</v>
      </c>
      <c r="S5" s="417">
        <v>2011</v>
      </c>
      <c r="T5" s="446">
        <v>2012</v>
      </c>
      <c r="U5" s="417">
        <v>2011</v>
      </c>
      <c r="V5" s="446">
        <v>2012</v>
      </c>
      <c r="W5" s="417">
        <v>2011</v>
      </c>
      <c r="X5" s="446">
        <v>2012</v>
      </c>
      <c r="Y5" s="417">
        <v>2011</v>
      </c>
      <c r="Z5" s="446">
        <v>2012</v>
      </c>
      <c r="AA5" s="417">
        <v>2011</v>
      </c>
      <c r="AB5" s="446">
        <v>2012</v>
      </c>
      <c r="AC5" s="417">
        <v>2011</v>
      </c>
      <c r="AD5" s="446">
        <v>2012</v>
      </c>
      <c r="AE5" s="428">
        <v>2011</v>
      </c>
      <c r="AF5" s="471">
        <v>2012</v>
      </c>
    </row>
    <row r="6" spans="2:32" ht="12.75">
      <c r="B6" s="409">
        <v>1</v>
      </c>
      <c r="C6" s="333" t="s">
        <v>131</v>
      </c>
      <c r="D6" s="476">
        <v>6457.6</v>
      </c>
      <c r="E6" s="476">
        <v>115.57</v>
      </c>
      <c r="F6" s="447">
        <f>Январь!N8</f>
        <v>67.082</v>
      </c>
      <c r="G6" s="481">
        <v>157.52</v>
      </c>
      <c r="H6" s="455">
        <f>Февраль!N7</f>
        <v>195.9755</v>
      </c>
      <c r="I6" s="247">
        <v>136.07</v>
      </c>
      <c r="J6" s="455">
        <f>Март!N6</f>
        <v>126.7866</v>
      </c>
      <c r="K6" s="247">
        <v>91.44</v>
      </c>
      <c r="L6" s="455">
        <f>Апрель!N6</f>
        <v>83.4306</v>
      </c>
      <c r="M6" s="247">
        <v>37.52</v>
      </c>
      <c r="N6" s="455">
        <f>Май!N6</f>
        <v>18.346600000000002</v>
      </c>
      <c r="O6" s="482"/>
      <c r="P6" s="455">
        <f>Июнь!N6</f>
        <v>18.8226</v>
      </c>
      <c r="Q6" s="247">
        <v>9.82</v>
      </c>
      <c r="R6" s="455">
        <f>Июль!N6</f>
        <v>9.5454</v>
      </c>
      <c r="S6" s="247">
        <v>9.37</v>
      </c>
      <c r="T6" s="455">
        <f>Август!N6</f>
        <v>12.383</v>
      </c>
      <c r="U6" s="247">
        <v>2.49</v>
      </c>
      <c r="V6" s="460">
        <f>Сентябрь!N6</f>
        <v>16.313523999999997</v>
      </c>
      <c r="W6" s="408">
        <v>68.98</v>
      </c>
      <c r="X6" s="460">
        <f>Октябрь!N6</f>
        <v>52.983999999999995</v>
      </c>
      <c r="Y6" s="408">
        <v>114.43</v>
      </c>
      <c r="Z6" s="463">
        <v>88.27</v>
      </c>
      <c r="AA6" s="111">
        <v>142</v>
      </c>
      <c r="AB6" s="463"/>
      <c r="AC6" s="111">
        <v>68.65</v>
      </c>
      <c r="AD6" s="463"/>
      <c r="AE6" s="429">
        <f aca="true" t="shared" si="0" ref="AE6:AE46">E6+G6+I6+K6+M6+O6+Q6+S6+U6+W6+Y6+AA6+AC6</f>
        <v>953.86</v>
      </c>
      <c r="AF6" s="472">
        <f aca="true" t="shared" si="1" ref="AF6:AF46">F6+H6+J6+L6+N6+P6+R6+T6+V6+X6+Z6+AB6+AD6</f>
        <v>689.9398240000002</v>
      </c>
    </row>
    <row r="7" spans="2:32" ht="12.75">
      <c r="B7" s="410">
        <f>B6+1</f>
        <v>2</v>
      </c>
      <c r="C7" s="334" t="s">
        <v>132</v>
      </c>
      <c r="D7" s="416">
        <v>12688.5</v>
      </c>
      <c r="E7" s="436">
        <v>245.07</v>
      </c>
      <c r="F7" s="448">
        <f>Январь!N9</f>
        <v>171.23000000000002</v>
      </c>
      <c r="G7" s="418">
        <v>333.04</v>
      </c>
      <c r="H7" s="456">
        <f>Февраль!N8</f>
        <v>346.518</v>
      </c>
      <c r="I7" s="207">
        <v>281.01</v>
      </c>
      <c r="J7" s="456">
        <f>Март!N7</f>
        <v>242.3865</v>
      </c>
      <c r="K7" s="207">
        <v>193.31</v>
      </c>
      <c r="L7" s="456">
        <f>Апрель!N7</f>
        <v>178.94</v>
      </c>
      <c r="M7" s="207">
        <v>76.41</v>
      </c>
      <c r="N7" s="456">
        <f>Май!N7</f>
        <v>42.0445</v>
      </c>
      <c r="O7" s="78"/>
      <c r="P7" s="456">
        <f>Июнь!N7</f>
        <v>39.588339999999995</v>
      </c>
      <c r="Q7" s="207">
        <v>17.78</v>
      </c>
      <c r="R7" s="456">
        <f>Июль!N7</f>
        <v>16.395540000000004</v>
      </c>
      <c r="S7" s="207">
        <v>18.57</v>
      </c>
      <c r="T7" s="456">
        <f>Август!N7</f>
        <v>30.5967</v>
      </c>
      <c r="U7" s="207">
        <v>0</v>
      </c>
      <c r="V7" s="461">
        <f>Сентябрь!N7</f>
        <v>31.824775999999993</v>
      </c>
      <c r="W7" s="206">
        <v>168.49</v>
      </c>
      <c r="X7" s="461">
        <f>Октябрь!N7</f>
        <v>107.29599999999999</v>
      </c>
      <c r="Y7" s="206">
        <v>272.11</v>
      </c>
      <c r="Z7" s="464">
        <v>202.45</v>
      </c>
      <c r="AA7" s="112">
        <v>294.04</v>
      </c>
      <c r="AB7" s="464"/>
      <c r="AC7" s="112">
        <v>143.9</v>
      </c>
      <c r="AD7" s="464"/>
      <c r="AE7" s="430">
        <f t="shared" si="0"/>
        <v>2043.73</v>
      </c>
      <c r="AF7" s="473">
        <f t="shared" si="1"/>
        <v>1409.2703560000002</v>
      </c>
    </row>
    <row r="8" spans="2:32" ht="12.75" hidden="1">
      <c r="B8" s="410">
        <f aca="true" t="shared" si="2" ref="B8:B71">B7+1</f>
        <v>3</v>
      </c>
      <c r="C8" s="334" t="s">
        <v>133</v>
      </c>
      <c r="D8" s="436">
        <v>11181.7</v>
      </c>
      <c r="E8" s="436"/>
      <c r="F8" s="448">
        <f>Январь!N10</f>
        <v>144.85812</v>
      </c>
      <c r="G8" s="418"/>
      <c r="H8" s="456">
        <f>Февраль!N9</f>
        <v>275.64828</v>
      </c>
      <c r="I8" s="207"/>
      <c r="J8" s="456">
        <f>Март!N8</f>
        <v>206.56112</v>
      </c>
      <c r="K8" s="207"/>
      <c r="L8" s="456">
        <f>Апрель!N8</f>
        <v>127.015</v>
      </c>
      <c r="M8" s="207"/>
      <c r="N8" s="456">
        <f>Май!N8</f>
        <v>20.200880000000005</v>
      </c>
      <c r="O8" s="78"/>
      <c r="P8" s="456">
        <f>Июнь!N8</f>
        <v>17.61652000000001</v>
      </c>
      <c r="Q8" s="207"/>
      <c r="R8" s="456">
        <f>Июль!N8</f>
        <v>-1.4672799999999988</v>
      </c>
      <c r="S8" s="207"/>
      <c r="T8" s="456">
        <f>Август!N8</f>
        <v>-11.387320000000003</v>
      </c>
      <c r="U8" s="207">
        <v>1.41</v>
      </c>
      <c r="V8" s="461">
        <f>Сентябрь!N8</f>
        <v>9.795227999999994</v>
      </c>
      <c r="W8" s="206">
        <v>4.53</v>
      </c>
      <c r="X8" s="461">
        <f>Октябрь!N8</f>
        <v>73.44200000000001</v>
      </c>
      <c r="Y8" s="205">
        <v>349.58</v>
      </c>
      <c r="Z8" s="465">
        <v>167.74</v>
      </c>
      <c r="AA8" s="114">
        <v>245.92</v>
      </c>
      <c r="AB8" s="465"/>
      <c r="AC8" s="114">
        <v>105.16</v>
      </c>
      <c r="AD8" s="465"/>
      <c r="AE8" s="430">
        <f t="shared" si="0"/>
        <v>706.5999999999999</v>
      </c>
      <c r="AF8" s="473">
        <f t="shared" si="1"/>
        <v>1030.022548</v>
      </c>
    </row>
    <row r="9" spans="2:32" ht="12.75" customHeight="1">
      <c r="B9" s="410">
        <f t="shared" si="2"/>
        <v>4</v>
      </c>
      <c r="C9" s="432" t="s">
        <v>71</v>
      </c>
      <c r="D9" s="437">
        <v>10509.4</v>
      </c>
      <c r="E9" s="437">
        <v>160.24</v>
      </c>
      <c r="F9" s="448">
        <f>Январь!N11</f>
        <v>155.32368</v>
      </c>
      <c r="G9" s="418">
        <v>260.06</v>
      </c>
      <c r="H9" s="456">
        <f>Февраль!N10</f>
        <v>298.4676</v>
      </c>
      <c r="I9" s="207">
        <v>231.56</v>
      </c>
      <c r="J9" s="456">
        <f>Март!N9</f>
        <v>215.67908</v>
      </c>
      <c r="K9" s="207">
        <v>148.2</v>
      </c>
      <c r="L9" s="456">
        <f>Апрель!N9</f>
        <v>161.37556</v>
      </c>
      <c r="M9" s="207">
        <v>82.65</v>
      </c>
      <c r="N9" s="456">
        <f>Май!N9</f>
        <v>45.52964</v>
      </c>
      <c r="O9" s="78">
        <v>39.64</v>
      </c>
      <c r="P9" s="456">
        <f>Июнь!N9</f>
        <v>53.58315999999999</v>
      </c>
      <c r="Q9" s="207">
        <v>15.71</v>
      </c>
      <c r="R9" s="456">
        <f>Июль!N9</f>
        <v>22.79344</v>
      </c>
      <c r="S9" s="207">
        <v>33.25</v>
      </c>
      <c r="T9" s="456">
        <f>Август!N9</f>
        <v>14.93524</v>
      </c>
      <c r="U9" s="207">
        <v>28.02</v>
      </c>
      <c r="V9" s="461">
        <f>Сентябрь!N9</f>
        <v>16.467284</v>
      </c>
      <c r="W9" s="206">
        <v>125.36</v>
      </c>
      <c r="X9" s="461">
        <f>Октябрь!N9</f>
        <v>85.292</v>
      </c>
      <c r="Y9" s="205">
        <v>208.87</v>
      </c>
      <c r="Z9" s="466">
        <v>164.17</v>
      </c>
      <c r="AA9" s="69">
        <v>247.07</v>
      </c>
      <c r="AB9" s="466"/>
      <c r="AC9" s="69">
        <v>101.89</v>
      </c>
      <c r="AD9" s="466"/>
      <c r="AE9" s="430">
        <f t="shared" si="0"/>
        <v>1682.52</v>
      </c>
      <c r="AF9" s="473">
        <f t="shared" si="1"/>
        <v>1233.616684</v>
      </c>
    </row>
    <row r="10" spans="2:32" ht="12.75" customHeight="1">
      <c r="B10" s="410">
        <f t="shared" si="2"/>
        <v>5</v>
      </c>
      <c r="C10" s="432" t="s">
        <v>1</v>
      </c>
      <c r="D10" s="438">
        <v>9045.5</v>
      </c>
      <c r="E10" s="437">
        <v>128.48</v>
      </c>
      <c r="F10" s="448">
        <f>Январь!N12</f>
        <v>102.1521</v>
      </c>
      <c r="G10" s="418">
        <v>206.52</v>
      </c>
      <c r="H10" s="456">
        <f>Февраль!N11</f>
        <v>210.8595</v>
      </c>
      <c r="I10" s="207">
        <v>169.21</v>
      </c>
      <c r="J10" s="456">
        <f>Март!N10</f>
        <v>144.4968</v>
      </c>
      <c r="K10" s="207">
        <v>131.28</v>
      </c>
      <c r="L10" s="456">
        <f>Апрель!N10</f>
        <v>101.05579999999998</v>
      </c>
      <c r="M10" s="207">
        <v>41.45</v>
      </c>
      <c r="N10" s="456">
        <f>Май!N10</f>
        <v>16.811799999999998</v>
      </c>
      <c r="O10" s="78">
        <v>8.25</v>
      </c>
      <c r="P10" s="456">
        <f>Июнь!N10</f>
        <v>6.408699999999996</v>
      </c>
      <c r="Q10" s="207">
        <v>6.38</v>
      </c>
      <c r="R10" s="456">
        <f>Июль!N10</f>
        <v>2.2448000000000015</v>
      </c>
      <c r="S10" s="207">
        <v>21.77</v>
      </c>
      <c r="T10" s="456">
        <f>Август!N10</f>
        <v>6.7440999999999995</v>
      </c>
      <c r="U10" s="207">
        <v>13.08</v>
      </c>
      <c r="V10" s="461">
        <f>Сентябрь!N10</f>
        <v>12.877383999999996</v>
      </c>
      <c r="W10" s="206">
        <v>87.34</v>
      </c>
      <c r="X10" s="461">
        <f>Октябрь!N10</f>
        <v>59.73599999999999</v>
      </c>
      <c r="Y10" s="246">
        <v>154.86</v>
      </c>
      <c r="Z10" s="467">
        <v>114.95</v>
      </c>
      <c r="AA10" s="42">
        <v>178.18</v>
      </c>
      <c r="AB10" s="467"/>
      <c r="AC10" s="42">
        <v>82.2</v>
      </c>
      <c r="AD10" s="467"/>
      <c r="AE10" s="430">
        <f t="shared" si="0"/>
        <v>1229.0000000000002</v>
      </c>
      <c r="AF10" s="473">
        <f t="shared" si="1"/>
        <v>778.336984</v>
      </c>
    </row>
    <row r="11" spans="2:32" ht="12.75">
      <c r="B11" s="410">
        <f t="shared" si="2"/>
        <v>6</v>
      </c>
      <c r="C11" s="433" t="s">
        <v>56</v>
      </c>
      <c r="D11" s="477">
        <v>7179.6</v>
      </c>
      <c r="E11" s="438">
        <v>122.55</v>
      </c>
      <c r="F11" s="448">
        <f>Январь!N13</f>
        <v>104.9396</v>
      </c>
      <c r="G11" s="418">
        <v>210.26</v>
      </c>
      <c r="H11" s="456">
        <f>Февраль!N12</f>
        <v>223.5148</v>
      </c>
      <c r="I11" s="207">
        <v>168.05</v>
      </c>
      <c r="J11" s="456">
        <f>Март!N11</f>
        <v>142.2788</v>
      </c>
      <c r="K11" s="207">
        <v>101.39</v>
      </c>
      <c r="L11" s="456">
        <f>Апрель!N11</f>
        <v>95.2664</v>
      </c>
      <c r="M11" s="207">
        <v>42.05</v>
      </c>
      <c r="N11" s="456">
        <f>Май!N11</f>
        <v>26.302300000000002</v>
      </c>
      <c r="O11" s="78">
        <v>11.56</v>
      </c>
      <c r="P11" s="456">
        <f>Июнь!N11</f>
        <v>3.274099999999997</v>
      </c>
      <c r="Q11" s="207">
        <v>5.44</v>
      </c>
      <c r="R11" s="456">
        <f>Июль!N11</f>
        <v>-0.05150000000000077</v>
      </c>
      <c r="S11" s="207">
        <v>11.14</v>
      </c>
      <c r="T11" s="456">
        <f>Август!N11</f>
        <v>12.3415</v>
      </c>
      <c r="U11" s="207">
        <v>9.06</v>
      </c>
      <c r="V11" s="461">
        <f>Сентябрь!N11</f>
        <v>23.437844</v>
      </c>
      <c r="W11" s="206">
        <v>67.19</v>
      </c>
      <c r="X11" s="461">
        <f>Октябрь!N11</f>
        <v>63.029999999999994</v>
      </c>
      <c r="Y11" s="208">
        <v>135.82</v>
      </c>
      <c r="Z11" s="468">
        <v>107.58</v>
      </c>
      <c r="AA11" s="77">
        <v>167.86</v>
      </c>
      <c r="AB11" s="468"/>
      <c r="AC11" s="77">
        <v>70.93</v>
      </c>
      <c r="AD11" s="468"/>
      <c r="AE11" s="430">
        <f t="shared" si="0"/>
        <v>1123.3</v>
      </c>
      <c r="AF11" s="473">
        <f t="shared" si="1"/>
        <v>801.9138439999999</v>
      </c>
    </row>
    <row r="12" spans="2:32" ht="12.75">
      <c r="B12" s="410">
        <f t="shared" si="2"/>
        <v>7</v>
      </c>
      <c r="C12" s="433" t="s">
        <v>53</v>
      </c>
      <c r="D12" s="416">
        <v>7003.6</v>
      </c>
      <c r="E12" s="436">
        <v>109.65</v>
      </c>
      <c r="F12" s="448">
        <f>Январь!N14</f>
        <v>88.5577</v>
      </c>
      <c r="G12" s="418">
        <v>190.86</v>
      </c>
      <c r="H12" s="456">
        <f>Февраль!N13</f>
        <v>196.7704</v>
      </c>
      <c r="I12" s="207">
        <v>146.98</v>
      </c>
      <c r="J12" s="456">
        <f>Март!N12</f>
        <v>130.4067</v>
      </c>
      <c r="K12" s="207">
        <v>90.22</v>
      </c>
      <c r="L12" s="456">
        <f>Апрель!N12</f>
        <v>89.0225</v>
      </c>
      <c r="M12" s="207">
        <v>39.12</v>
      </c>
      <c r="N12" s="456">
        <f>Май!N12</f>
        <v>22.439299999999996</v>
      </c>
      <c r="O12" s="78">
        <v>21.35</v>
      </c>
      <c r="P12" s="456">
        <f>Июнь!N12</f>
        <v>17.0781</v>
      </c>
      <c r="Q12" s="207">
        <v>9.12</v>
      </c>
      <c r="R12" s="456">
        <f>Июль!N12</f>
        <v>9.877999999999998</v>
      </c>
      <c r="S12" s="207">
        <v>15.59</v>
      </c>
      <c r="T12" s="456">
        <f>Август!N12</f>
        <v>16.7001</v>
      </c>
      <c r="U12" s="207">
        <v>13.63</v>
      </c>
      <c r="V12" s="461">
        <f>Сентябрь!N12</f>
        <v>17.719355999999998</v>
      </c>
      <c r="W12" s="206">
        <v>63.74</v>
      </c>
      <c r="X12" s="461">
        <f>Октябрь!N12</f>
        <v>55.262</v>
      </c>
      <c r="Y12" s="206">
        <v>128.65</v>
      </c>
      <c r="Z12" s="469">
        <v>101.27</v>
      </c>
      <c r="AA12" s="43">
        <v>152.7</v>
      </c>
      <c r="AB12" s="469"/>
      <c r="AC12" s="43">
        <v>64.63</v>
      </c>
      <c r="AD12" s="469"/>
      <c r="AE12" s="430">
        <f t="shared" si="0"/>
        <v>1046.2400000000002</v>
      </c>
      <c r="AF12" s="473">
        <f t="shared" si="1"/>
        <v>745.1041559999999</v>
      </c>
    </row>
    <row r="13" spans="2:32" ht="12.75" customHeight="1">
      <c r="B13" s="410">
        <f t="shared" si="2"/>
        <v>8</v>
      </c>
      <c r="C13" s="120" t="s">
        <v>0</v>
      </c>
      <c r="D13" s="416">
        <v>6727.7</v>
      </c>
      <c r="E13" s="436">
        <v>86.43</v>
      </c>
      <c r="F13" s="448">
        <f>Январь!N15</f>
        <v>73.1648</v>
      </c>
      <c r="G13" s="418">
        <v>139.92</v>
      </c>
      <c r="H13" s="456">
        <f>Февраль!N14</f>
        <v>165.2163</v>
      </c>
      <c r="I13" s="207">
        <v>118.83</v>
      </c>
      <c r="J13" s="456">
        <f>Март!N13</f>
        <v>108.4729</v>
      </c>
      <c r="K13" s="207">
        <v>75.24</v>
      </c>
      <c r="L13" s="456">
        <f>Апрель!N13</f>
        <v>63.3027</v>
      </c>
      <c r="M13" s="207">
        <v>22.97</v>
      </c>
      <c r="N13" s="456">
        <f>Май!N13</f>
        <v>3.8087000000000018</v>
      </c>
      <c r="O13" s="78">
        <v>8.06</v>
      </c>
      <c r="P13" s="456">
        <f>Июнь!N13</f>
        <v>-2.6977000000000046</v>
      </c>
      <c r="Q13" s="207">
        <v>7.08</v>
      </c>
      <c r="R13" s="456">
        <f>Июль!N13</f>
        <v>0.16579999999999906</v>
      </c>
      <c r="S13" s="207">
        <v>11.3</v>
      </c>
      <c r="T13" s="456">
        <f>Август!N13</f>
        <v>0.2953999999999972</v>
      </c>
      <c r="U13" s="207">
        <v>10.25</v>
      </c>
      <c r="V13" s="461">
        <f>Сентябрь!N13</f>
        <v>1.5141840000000002</v>
      </c>
      <c r="W13" s="206">
        <v>57.36</v>
      </c>
      <c r="X13" s="461">
        <f>Октябрь!N13</f>
        <v>39.599999999999994</v>
      </c>
      <c r="Y13" s="206">
        <v>99.85</v>
      </c>
      <c r="Z13" s="469">
        <v>68.73</v>
      </c>
      <c r="AA13" s="43">
        <v>127.13</v>
      </c>
      <c r="AB13" s="469"/>
      <c r="AC13" s="43">
        <v>64.28</v>
      </c>
      <c r="AD13" s="469"/>
      <c r="AE13" s="430">
        <f t="shared" si="0"/>
        <v>828.6999999999999</v>
      </c>
      <c r="AF13" s="473">
        <f t="shared" si="1"/>
        <v>521.573084</v>
      </c>
    </row>
    <row r="14" spans="2:32" ht="12.75" customHeight="1" hidden="1">
      <c r="B14" s="410">
        <f t="shared" si="2"/>
        <v>9</v>
      </c>
      <c r="C14" s="120" t="s">
        <v>128</v>
      </c>
      <c r="D14" s="416">
        <v>4726.8</v>
      </c>
      <c r="E14" s="436"/>
      <c r="F14" s="448">
        <f>Январь!N16</f>
        <v>71.15208000000001</v>
      </c>
      <c r="G14" s="418"/>
      <c r="H14" s="456">
        <f>Февраль!N15</f>
        <v>63.52272000000001</v>
      </c>
      <c r="I14" s="207"/>
      <c r="J14" s="456">
        <f>Март!N14</f>
        <v>116.70852</v>
      </c>
      <c r="K14" s="207"/>
      <c r="L14" s="456">
        <f>Апрель!N14</f>
        <v>95.269</v>
      </c>
      <c r="M14" s="207">
        <v>0</v>
      </c>
      <c r="N14" s="456">
        <f>Май!N14</f>
        <v>22.549</v>
      </c>
      <c r="O14" s="78">
        <v>6.51</v>
      </c>
      <c r="P14" s="456">
        <f>Июнь!N14</f>
        <v>11.15284</v>
      </c>
      <c r="Q14" s="207">
        <v>9.06</v>
      </c>
      <c r="R14" s="456">
        <f>Июль!N14</f>
        <v>7.96112</v>
      </c>
      <c r="S14" s="207">
        <v>11.88</v>
      </c>
      <c r="T14" s="456">
        <f>Август!N14</f>
        <v>8.082600000000001</v>
      </c>
      <c r="U14" s="207">
        <v>10.03</v>
      </c>
      <c r="V14" s="461">
        <f>Сентябрь!N14</f>
        <v>19.472932000000004</v>
      </c>
      <c r="W14" s="206">
        <v>68.67</v>
      </c>
      <c r="X14" s="461">
        <f>Октябрь!N14</f>
        <v>44.308</v>
      </c>
      <c r="Y14" s="206">
        <v>103.17</v>
      </c>
      <c r="Z14" s="160">
        <v>85.78</v>
      </c>
      <c r="AA14" s="43">
        <v>118.51</v>
      </c>
      <c r="AB14" s="469"/>
      <c r="AC14" s="43">
        <v>46.84</v>
      </c>
      <c r="AD14" s="469"/>
      <c r="AE14" s="430">
        <f t="shared" si="0"/>
        <v>374.66999999999996</v>
      </c>
      <c r="AF14" s="473">
        <f t="shared" si="1"/>
        <v>545.9588120000001</v>
      </c>
    </row>
    <row r="15" spans="2:32" ht="12.75" customHeight="1" hidden="1">
      <c r="B15" s="410">
        <f t="shared" si="2"/>
        <v>10</v>
      </c>
      <c r="C15" s="120" t="s">
        <v>129</v>
      </c>
      <c r="D15" s="416">
        <v>4730.4</v>
      </c>
      <c r="E15" s="436"/>
      <c r="F15" s="448">
        <f>Январь!N17</f>
        <v>80.77456</v>
      </c>
      <c r="G15" s="418"/>
      <c r="H15" s="456">
        <f>Февраль!N16</f>
        <v>157.10188</v>
      </c>
      <c r="I15" s="207"/>
      <c r="J15" s="456">
        <f>Март!N15</f>
        <v>102.76252</v>
      </c>
      <c r="K15" s="207"/>
      <c r="L15" s="456">
        <f>Апрель!N15</f>
        <v>81.37236</v>
      </c>
      <c r="M15" s="207">
        <v>0</v>
      </c>
      <c r="N15" s="456">
        <f>Май!N15</f>
        <v>11.398480000000003</v>
      </c>
      <c r="O15" s="78">
        <v>16.19</v>
      </c>
      <c r="P15" s="456">
        <f>Июнь!N15</f>
        <v>3.4131600000000013</v>
      </c>
      <c r="Q15" s="207">
        <v>9.73</v>
      </c>
      <c r="R15" s="456">
        <f>Июль!N15</f>
        <v>2.05912</v>
      </c>
      <c r="S15" s="207">
        <v>8.05</v>
      </c>
      <c r="T15" s="456">
        <f>Август!N15</f>
        <v>2.48724</v>
      </c>
      <c r="U15" s="207">
        <v>4.39</v>
      </c>
      <c r="V15" s="461">
        <f>Сентябрь!N15</f>
        <v>0.5570999999999948</v>
      </c>
      <c r="W15" s="206">
        <v>61.19</v>
      </c>
      <c r="X15" s="461">
        <f>Октябрь!N15</f>
        <v>40.908</v>
      </c>
      <c r="Y15" s="206">
        <v>108.52</v>
      </c>
      <c r="Z15" s="160">
        <v>76.37</v>
      </c>
      <c r="AA15" s="43">
        <v>128.53</v>
      </c>
      <c r="AB15" s="469"/>
      <c r="AC15" s="43">
        <v>56.97</v>
      </c>
      <c r="AD15" s="469"/>
      <c r="AE15" s="430">
        <f t="shared" si="0"/>
        <v>393.57000000000005</v>
      </c>
      <c r="AF15" s="473">
        <f t="shared" si="1"/>
        <v>559.20442</v>
      </c>
    </row>
    <row r="16" spans="2:32" ht="12.75" customHeight="1" hidden="1">
      <c r="B16" s="410">
        <f t="shared" si="2"/>
        <v>11</v>
      </c>
      <c r="C16" s="120" t="s">
        <v>130</v>
      </c>
      <c r="D16" s="416">
        <v>4727.7</v>
      </c>
      <c r="E16" s="436"/>
      <c r="F16" s="448">
        <f>Январь!N18</f>
        <v>70.35336000000001</v>
      </c>
      <c r="G16" s="418"/>
      <c r="H16" s="456">
        <f>Февраль!N17</f>
        <v>151.74152</v>
      </c>
      <c r="I16" s="207"/>
      <c r="J16" s="456">
        <f>Март!N16</f>
        <v>101.31756</v>
      </c>
      <c r="K16" s="207"/>
      <c r="L16" s="456">
        <f>Апрель!N16</f>
        <v>62.78464</v>
      </c>
      <c r="M16" s="207">
        <v>0</v>
      </c>
      <c r="N16" s="456">
        <f>Май!N16</f>
        <v>24.8332</v>
      </c>
      <c r="O16" s="78">
        <v>12.24</v>
      </c>
      <c r="P16" s="456">
        <f>Июнь!N16</f>
        <v>13.654280000000002</v>
      </c>
      <c r="Q16" s="207">
        <v>11.7</v>
      </c>
      <c r="R16" s="456">
        <f>Июль!N16</f>
        <v>6.66268</v>
      </c>
      <c r="S16" s="207">
        <v>10.28</v>
      </c>
      <c r="T16" s="456">
        <f>Август!N16</f>
        <v>12.1456</v>
      </c>
      <c r="U16" s="207">
        <v>4.72</v>
      </c>
      <c r="V16" s="461">
        <f>Сентябрь!N16</f>
        <v>11.858503999999998</v>
      </c>
      <c r="W16" s="206">
        <v>62.03</v>
      </c>
      <c r="X16" s="461">
        <f>Октябрь!N16</f>
        <v>59.946000000000005</v>
      </c>
      <c r="Y16" s="206">
        <v>107.43</v>
      </c>
      <c r="Z16" s="160">
        <v>90.68</v>
      </c>
      <c r="AA16" s="43">
        <v>125.34</v>
      </c>
      <c r="AB16" s="469"/>
      <c r="AC16" s="43">
        <v>52.13</v>
      </c>
      <c r="AD16" s="469"/>
      <c r="AE16" s="430">
        <f t="shared" si="0"/>
        <v>385.87</v>
      </c>
      <c r="AF16" s="473">
        <f t="shared" si="1"/>
        <v>605.9773440000001</v>
      </c>
    </row>
    <row r="17" spans="2:32" ht="12.75" customHeight="1">
      <c r="B17" s="410">
        <f t="shared" si="2"/>
        <v>12</v>
      </c>
      <c r="C17" s="120" t="s">
        <v>120</v>
      </c>
      <c r="D17" s="416">
        <v>10656</v>
      </c>
      <c r="E17" s="436"/>
      <c r="F17" s="448">
        <f>Январь!N19</f>
        <v>162.81668000000002</v>
      </c>
      <c r="G17" s="418">
        <v>314.1</v>
      </c>
      <c r="H17" s="456">
        <f>Февраль!N18</f>
        <v>335.59288000000004</v>
      </c>
      <c r="I17" s="207">
        <v>316.22</v>
      </c>
      <c r="J17" s="456">
        <f>Март!N17</f>
        <v>250.1886</v>
      </c>
      <c r="K17" s="207">
        <v>168.01</v>
      </c>
      <c r="L17" s="456">
        <f>Апрель!N17</f>
        <v>171.1596</v>
      </c>
      <c r="M17" s="207">
        <v>56.68</v>
      </c>
      <c r="N17" s="456">
        <f>Май!N17</f>
        <v>20.879760000000005</v>
      </c>
      <c r="O17" s="78">
        <v>-8.15</v>
      </c>
      <c r="P17" s="456">
        <f>Июнь!N17</f>
        <v>10.412360000000007</v>
      </c>
      <c r="Q17" s="207">
        <v>2.3</v>
      </c>
      <c r="R17" s="456">
        <f>Июль!N17</f>
        <v>5.704680000000003</v>
      </c>
      <c r="S17" s="207">
        <v>-3.65</v>
      </c>
      <c r="T17" s="456">
        <f>Август!N17</f>
        <v>-6.204280000000001</v>
      </c>
      <c r="U17" s="207">
        <v>-5.21</v>
      </c>
      <c r="V17" s="461">
        <f>Сентябрь!N17</f>
        <v>22.226539999999996</v>
      </c>
      <c r="W17" s="206">
        <v>73.6</v>
      </c>
      <c r="X17" s="461">
        <f>Октябрь!N17</f>
        <v>77.232</v>
      </c>
      <c r="Y17" s="206">
        <v>145.86</v>
      </c>
      <c r="Z17" s="160">
        <v>159.31</v>
      </c>
      <c r="AA17" s="43">
        <v>149.74</v>
      </c>
      <c r="AB17" s="469"/>
      <c r="AC17" s="43">
        <v>88.57</v>
      </c>
      <c r="AD17" s="469"/>
      <c r="AE17" s="430">
        <f t="shared" si="0"/>
        <v>1298.07</v>
      </c>
      <c r="AF17" s="473">
        <f t="shared" si="1"/>
        <v>1209.31882</v>
      </c>
    </row>
    <row r="18" spans="2:32" s="20" customFormat="1" ht="12.75">
      <c r="B18" s="410">
        <f t="shared" si="2"/>
        <v>13</v>
      </c>
      <c r="C18" s="120" t="s">
        <v>61</v>
      </c>
      <c r="D18" s="416">
        <v>3545.7</v>
      </c>
      <c r="E18" s="436">
        <v>59.15</v>
      </c>
      <c r="F18" s="448">
        <f>Январь!N20</f>
        <v>49.95252</v>
      </c>
      <c r="G18" s="418">
        <v>108.07</v>
      </c>
      <c r="H18" s="456">
        <f>Февраль!N19</f>
        <v>105.63451999999998</v>
      </c>
      <c r="I18" s="207">
        <v>90.21</v>
      </c>
      <c r="J18" s="456">
        <f>Март!N18</f>
        <v>75.90944</v>
      </c>
      <c r="K18" s="207">
        <v>61.93</v>
      </c>
      <c r="L18" s="456">
        <f>Апрель!N18</f>
        <v>56.03608000000001</v>
      </c>
      <c r="M18" s="207">
        <v>20.79</v>
      </c>
      <c r="N18" s="456">
        <f>Май!N18</f>
        <v>6.614600000000003</v>
      </c>
      <c r="O18" s="78">
        <v>3.13</v>
      </c>
      <c r="P18" s="456">
        <f>Июнь!N18</f>
        <v>4.939080000000004</v>
      </c>
      <c r="Q18" s="207">
        <v>0.75</v>
      </c>
      <c r="R18" s="456">
        <f>Июль!N18</f>
        <v>1.5568400000000011</v>
      </c>
      <c r="S18" s="207">
        <v>0.28</v>
      </c>
      <c r="T18" s="456">
        <f>Август!N18</f>
        <v>-2.1315600000000003</v>
      </c>
      <c r="U18" s="207">
        <v>0.25</v>
      </c>
      <c r="V18" s="461">
        <f>Сентябрь!N18</f>
        <v>-0.7844119999999997</v>
      </c>
      <c r="W18" s="206">
        <v>45.86</v>
      </c>
      <c r="X18" s="461">
        <f>Октябрь!N18</f>
        <v>34.512</v>
      </c>
      <c r="Y18" s="206">
        <v>66.98</v>
      </c>
      <c r="Z18" s="160">
        <v>60.15</v>
      </c>
      <c r="AA18" s="43">
        <v>83.83</v>
      </c>
      <c r="AB18" s="469"/>
      <c r="AC18" s="43">
        <v>39.9</v>
      </c>
      <c r="AD18" s="469"/>
      <c r="AE18" s="430">
        <f t="shared" si="0"/>
        <v>581.13</v>
      </c>
      <c r="AF18" s="473">
        <f t="shared" si="1"/>
        <v>392.389108</v>
      </c>
    </row>
    <row r="19" spans="2:32" s="20" customFormat="1" ht="12.75">
      <c r="B19" s="410">
        <f t="shared" si="2"/>
        <v>14</v>
      </c>
      <c r="C19" s="120" t="s">
        <v>62</v>
      </c>
      <c r="D19" s="416">
        <v>3547.1</v>
      </c>
      <c r="E19" s="436">
        <v>62.04</v>
      </c>
      <c r="F19" s="448">
        <f>Январь!N21</f>
        <v>57.65560000000001</v>
      </c>
      <c r="G19" s="418">
        <v>108.15</v>
      </c>
      <c r="H19" s="456">
        <f>Февраль!N20</f>
        <v>115.60412000000001</v>
      </c>
      <c r="I19" s="207">
        <v>89.63</v>
      </c>
      <c r="J19" s="456">
        <f>Март!N19</f>
        <v>80.09628</v>
      </c>
      <c r="K19" s="207">
        <v>58.81</v>
      </c>
      <c r="L19" s="456">
        <f>Апрель!N19</f>
        <v>55.02724</v>
      </c>
      <c r="M19" s="207">
        <v>22.06</v>
      </c>
      <c r="N19" s="456">
        <f>Май!N19</f>
        <v>5.03988</v>
      </c>
      <c r="O19" s="78">
        <v>5.97</v>
      </c>
      <c r="P19" s="456">
        <f>Июнь!N19</f>
        <v>0.8512400000000007</v>
      </c>
      <c r="Q19" s="207">
        <v>2.94</v>
      </c>
      <c r="R19" s="456">
        <f>Июль!N19</f>
        <v>0.11912000000000056</v>
      </c>
      <c r="S19" s="207">
        <v>2.88</v>
      </c>
      <c r="T19" s="456">
        <f>Август!N19</f>
        <v>-1.8489199999999997</v>
      </c>
      <c r="U19" s="207">
        <v>2</v>
      </c>
      <c r="V19" s="461">
        <f>Сентябрь!N19</f>
        <v>-1.5875280000000043</v>
      </c>
      <c r="W19" s="206">
        <v>39.18</v>
      </c>
      <c r="X19" s="461">
        <f>Октябрь!N19</f>
        <v>25.957999999999995</v>
      </c>
      <c r="Y19" s="206">
        <v>66.66</v>
      </c>
      <c r="Z19" s="160">
        <v>54.69</v>
      </c>
      <c r="AA19" s="43">
        <v>96.05</v>
      </c>
      <c r="AB19" s="469"/>
      <c r="AC19" s="43">
        <v>40.52</v>
      </c>
      <c r="AD19" s="469"/>
      <c r="AE19" s="430">
        <f t="shared" si="0"/>
        <v>596.89</v>
      </c>
      <c r="AF19" s="473">
        <f t="shared" si="1"/>
        <v>391.60503199999994</v>
      </c>
    </row>
    <row r="20" spans="2:32" s="20" customFormat="1" ht="12.75">
      <c r="B20" s="410">
        <f t="shared" si="2"/>
        <v>15</v>
      </c>
      <c r="C20" s="120" t="s">
        <v>67</v>
      </c>
      <c r="D20" s="416">
        <v>3524.6</v>
      </c>
      <c r="E20" s="436">
        <v>72.11</v>
      </c>
      <c r="F20" s="448">
        <f>Январь!N22</f>
        <v>165.30864</v>
      </c>
      <c r="G20" s="418">
        <v>97.48</v>
      </c>
      <c r="H20" s="456">
        <f>Февраль!N21</f>
        <v>101.20472</v>
      </c>
      <c r="I20" s="207">
        <v>92.91</v>
      </c>
      <c r="J20" s="456">
        <f>Март!N20</f>
        <v>106.12748</v>
      </c>
      <c r="K20" s="207">
        <v>60.31</v>
      </c>
      <c r="L20" s="456">
        <f>Апрель!N20</f>
        <v>98.3098</v>
      </c>
      <c r="M20" s="207">
        <v>23.69</v>
      </c>
      <c r="N20" s="456">
        <f>Май!N20</f>
        <v>-0.5935999999999986</v>
      </c>
      <c r="O20" s="78">
        <v>7.31</v>
      </c>
      <c r="P20" s="456">
        <f>Июнь!N20</f>
        <v>3.2386800000000004</v>
      </c>
      <c r="Q20" s="207">
        <v>4.05</v>
      </c>
      <c r="R20" s="456">
        <f>Июль!N20</f>
        <v>-2.420160000000001</v>
      </c>
      <c r="S20" s="207">
        <v>-1.17</v>
      </c>
      <c r="T20" s="456">
        <f>Август!N20</f>
        <v>-3.7171199999999995</v>
      </c>
      <c r="U20" s="207">
        <v>-3.3</v>
      </c>
      <c r="V20" s="461">
        <f>Сентябрь!N20</f>
        <v>3.3060560000000017</v>
      </c>
      <c r="W20" s="206">
        <v>36.64</v>
      </c>
      <c r="X20" s="461">
        <f>Октябрь!N20</f>
        <v>42.056</v>
      </c>
      <c r="Y20" s="206">
        <v>59.76</v>
      </c>
      <c r="Z20" s="160">
        <v>53.81</v>
      </c>
      <c r="AA20" s="43">
        <v>180.31</v>
      </c>
      <c r="AB20" s="469"/>
      <c r="AC20" s="43">
        <v>106.57</v>
      </c>
      <c r="AD20" s="469"/>
      <c r="AE20" s="430">
        <f t="shared" si="0"/>
        <v>736.6699999999998</v>
      </c>
      <c r="AF20" s="473">
        <f t="shared" si="1"/>
        <v>566.630496</v>
      </c>
    </row>
    <row r="21" spans="2:32" s="20" customFormat="1" ht="12.75" hidden="1">
      <c r="B21" s="410">
        <f t="shared" si="2"/>
        <v>16</v>
      </c>
      <c r="C21" s="35" t="s">
        <v>126</v>
      </c>
      <c r="D21" s="478">
        <v>16614.4</v>
      </c>
      <c r="E21" s="416"/>
      <c r="F21" s="448">
        <f>Январь!N23</f>
        <v>246.32272</v>
      </c>
      <c r="G21" s="418"/>
      <c r="H21" s="456">
        <f>Февраль!N22</f>
        <v>478.101</v>
      </c>
      <c r="I21" s="207"/>
      <c r="J21" s="456">
        <f>Март!N21</f>
        <v>345.31248</v>
      </c>
      <c r="K21" s="207"/>
      <c r="L21" s="456">
        <f>Апрель!N21</f>
        <v>244.89280000000002</v>
      </c>
      <c r="M21" s="207">
        <v>11.89</v>
      </c>
      <c r="N21" s="456">
        <f>Май!N21</f>
        <v>49.806039999999996</v>
      </c>
      <c r="O21" s="78">
        <v>36.11</v>
      </c>
      <c r="P21" s="456">
        <f>Июнь!N21</f>
        <v>36.39323999999999</v>
      </c>
      <c r="Q21" s="207">
        <v>18.98</v>
      </c>
      <c r="R21" s="456">
        <f>Июль!N21</f>
        <v>11.599640000000008</v>
      </c>
      <c r="S21" s="207">
        <v>18.99</v>
      </c>
      <c r="T21" s="456">
        <f>Август!N21</f>
        <v>25.63644</v>
      </c>
      <c r="U21" s="207">
        <v>-18.13</v>
      </c>
      <c r="V21" s="461">
        <f>Сентябрь!N21</f>
        <v>34.920524</v>
      </c>
      <c r="W21" s="206">
        <v>196.72</v>
      </c>
      <c r="X21" s="461">
        <f>Октябрь!N21</f>
        <v>127.71799999999999</v>
      </c>
      <c r="Y21" s="246">
        <v>352.06</v>
      </c>
      <c r="Z21" s="160">
        <v>262.12</v>
      </c>
      <c r="AA21" s="42">
        <v>396.23</v>
      </c>
      <c r="AB21" s="466"/>
      <c r="AC21" s="69">
        <v>175.67</v>
      </c>
      <c r="AD21" s="466"/>
      <c r="AE21" s="430">
        <f t="shared" si="0"/>
        <v>1188.52</v>
      </c>
      <c r="AF21" s="473">
        <f t="shared" si="1"/>
        <v>1862.8228840000002</v>
      </c>
    </row>
    <row r="22" spans="2:32" s="20" customFormat="1" ht="12.75">
      <c r="B22" s="410">
        <f t="shared" si="2"/>
        <v>17</v>
      </c>
      <c r="C22" s="120" t="s">
        <v>68</v>
      </c>
      <c r="D22" s="416">
        <v>14948.6</v>
      </c>
      <c r="E22" s="436">
        <v>240.58</v>
      </c>
      <c r="F22" s="448">
        <f>Январь!N24</f>
        <v>206.91240000000002</v>
      </c>
      <c r="G22" s="418">
        <v>408.27</v>
      </c>
      <c r="H22" s="456">
        <f>Февраль!N23</f>
        <v>442.56252000000006</v>
      </c>
      <c r="I22" s="207">
        <v>328.14</v>
      </c>
      <c r="J22" s="456">
        <f>Март!N22</f>
        <v>295.69596</v>
      </c>
      <c r="K22" s="207">
        <v>223.42</v>
      </c>
      <c r="L22" s="456">
        <f>Апрель!N22</f>
        <v>192.01324000000002</v>
      </c>
      <c r="M22" s="207">
        <v>99.1</v>
      </c>
      <c r="N22" s="456">
        <f>Май!N22</f>
        <v>21.140079999999998</v>
      </c>
      <c r="O22" s="78">
        <v>20.94</v>
      </c>
      <c r="P22" s="456">
        <f>Июнь!N22</f>
        <v>9.68356</v>
      </c>
      <c r="Q22" s="207">
        <v>11.07</v>
      </c>
      <c r="R22" s="456">
        <f>Июль!N22</f>
        <v>3.9176399999999987</v>
      </c>
      <c r="S22" s="207">
        <v>10.12</v>
      </c>
      <c r="T22" s="456">
        <f>Август!N22</f>
        <v>1.0567600000000041</v>
      </c>
      <c r="U22" s="207">
        <v>55.74</v>
      </c>
      <c r="V22" s="461">
        <f>Сентябрь!N22</f>
        <v>-1.5753079999999997</v>
      </c>
      <c r="W22" s="206">
        <v>143.5</v>
      </c>
      <c r="X22" s="461">
        <f>Октябрь!N22</f>
        <v>84.53600000000002</v>
      </c>
      <c r="Y22" s="206">
        <v>277.08</v>
      </c>
      <c r="Z22" s="160">
        <v>203.6</v>
      </c>
      <c r="AA22" s="43">
        <v>331.68</v>
      </c>
      <c r="AB22" s="469"/>
      <c r="AC22" s="43">
        <v>157.38</v>
      </c>
      <c r="AD22" s="469"/>
      <c r="AE22" s="430">
        <f t="shared" si="0"/>
        <v>2307.02</v>
      </c>
      <c r="AF22" s="473">
        <f t="shared" si="1"/>
        <v>1459.5428519999998</v>
      </c>
    </row>
    <row r="23" spans="2:32" s="20" customFormat="1" ht="12.75" hidden="1">
      <c r="B23" s="410">
        <f t="shared" si="2"/>
        <v>18</v>
      </c>
      <c r="C23" s="434" t="s">
        <v>148</v>
      </c>
      <c r="D23" s="416">
        <v>8832.7</v>
      </c>
      <c r="E23" s="416"/>
      <c r="F23" s="449"/>
      <c r="G23" s="416"/>
      <c r="H23" s="456"/>
      <c r="I23" s="207"/>
      <c r="J23" s="456">
        <f>Март!N23</f>
        <v>0</v>
      </c>
      <c r="K23" s="207"/>
      <c r="L23" s="456">
        <f>Апрель!N23</f>
        <v>174.10819999999998</v>
      </c>
      <c r="M23" s="207"/>
      <c r="N23" s="456">
        <f>Май!N23</f>
        <v>18.32676</v>
      </c>
      <c r="O23" s="78"/>
      <c r="P23" s="456">
        <f>Июнь!N23</f>
        <v>12.880080000000003</v>
      </c>
      <c r="Q23" s="207"/>
      <c r="R23" s="456">
        <f>Июль!N23</f>
        <v>24.996920000000003</v>
      </c>
      <c r="S23" s="207"/>
      <c r="T23" s="456">
        <f>Август!N23</f>
        <v>19.580440000000003</v>
      </c>
      <c r="U23" s="207"/>
      <c r="V23" s="461">
        <f>Сентябрь!N23</f>
        <v>-5.679024000000002</v>
      </c>
      <c r="W23" s="206"/>
      <c r="X23" s="461">
        <f>Октябрь!N23</f>
        <v>91.35199999999998</v>
      </c>
      <c r="Y23" s="206"/>
      <c r="Z23" s="160">
        <v>99.93</v>
      </c>
      <c r="AA23" s="43"/>
      <c r="AB23" s="469"/>
      <c r="AC23" s="43"/>
      <c r="AD23" s="469"/>
      <c r="AE23" s="430">
        <f t="shared" si="0"/>
        <v>0</v>
      </c>
      <c r="AF23" s="473">
        <f t="shared" si="1"/>
        <v>435.495376</v>
      </c>
    </row>
    <row r="24" spans="2:32" s="20" customFormat="1" ht="12.75">
      <c r="B24" s="410">
        <f t="shared" si="2"/>
        <v>19</v>
      </c>
      <c r="C24" s="120" t="s">
        <v>59</v>
      </c>
      <c r="D24" s="416">
        <v>19523.1</v>
      </c>
      <c r="E24" s="416">
        <v>273.08</v>
      </c>
      <c r="F24" s="450">
        <f>Январь!N25</f>
        <v>234.98612000000003</v>
      </c>
      <c r="G24" s="419">
        <v>509.33</v>
      </c>
      <c r="H24" s="456">
        <f>Февраль!N24</f>
        <v>491.36596000000003</v>
      </c>
      <c r="I24" s="207">
        <v>425.15</v>
      </c>
      <c r="J24" s="456">
        <f>Март!N24</f>
        <v>351.03952000000004</v>
      </c>
      <c r="K24" s="207">
        <v>211.08</v>
      </c>
      <c r="L24" s="456">
        <f>Апрель!N24</f>
        <v>246.46519999999995</v>
      </c>
      <c r="M24" s="207">
        <v>97.14</v>
      </c>
      <c r="N24" s="456">
        <f>Май!N24</f>
        <v>25.5912</v>
      </c>
      <c r="O24" s="78">
        <v>24.86</v>
      </c>
      <c r="P24" s="456">
        <f>Июнь!N24</f>
        <v>10.25248000000002</v>
      </c>
      <c r="Q24" s="207">
        <v>21.44</v>
      </c>
      <c r="R24" s="456">
        <f>Июль!N24</f>
        <v>6.451919999999994</v>
      </c>
      <c r="S24" s="207">
        <v>13.47</v>
      </c>
      <c r="T24" s="456">
        <f>Август!N24</f>
        <v>8.623520000000006</v>
      </c>
      <c r="U24" s="207">
        <v>13</v>
      </c>
      <c r="V24" s="461">
        <f>Сентябрь!N24</f>
        <v>-0.6098199999999991</v>
      </c>
      <c r="W24" s="206">
        <v>162.63</v>
      </c>
      <c r="X24" s="461">
        <f>Октябрь!N24</f>
        <v>91.07600000000001</v>
      </c>
      <c r="Y24" s="206">
        <v>296.1</v>
      </c>
      <c r="Z24" s="160">
        <v>242.34</v>
      </c>
      <c r="AA24" s="43">
        <v>385.01</v>
      </c>
      <c r="AB24" s="469"/>
      <c r="AC24" s="43">
        <v>183.84</v>
      </c>
      <c r="AD24" s="469"/>
      <c r="AE24" s="430">
        <f t="shared" si="0"/>
        <v>2616.13</v>
      </c>
      <c r="AF24" s="473">
        <f t="shared" si="1"/>
        <v>1707.5821000000003</v>
      </c>
    </row>
    <row r="25" spans="2:32" ht="12.75" customHeight="1">
      <c r="B25" s="410">
        <f t="shared" si="2"/>
        <v>20</v>
      </c>
      <c r="C25" s="435" t="s">
        <v>66</v>
      </c>
      <c r="D25" s="436">
        <v>18481.1</v>
      </c>
      <c r="E25" s="436">
        <v>253.11</v>
      </c>
      <c r="F25" s="450">
        <f>Январь!N26</f>
        <v>258.50768</v>
      </c>
      <c r="G25" s="419">
        <v>459.54</v>
      </c>
      <c r="H25" s="456">
        <f>Февраль!N25</f>
        <v>511.1955999999999</v>
      </c>
      <c r="I25" s="207">
        <v>399.4</v>
      </c>
      <c r="J25" s="456">
        <f>Март!N25</f>
        <v>343.08096</v>
      </c>
      <c r="K25" s="207">
        <v>246.46</v>
      </c>
      <c r="L25" s="456">
        <f>Апрель!N25</f>
        <v>249.52668000000003</v>
      </c>
      <c r="M25" s="207">
        <v>100.77</v>
      </c>
      <c r="N25" s="456">
        <f>Май!N25</f>
        <v>26.805839999999993</v>
      </c>
      <c r="O25" s="78">
        <v>26.45</v>
      </c>
      <c r="P25" s="456">
        <f>Июнь!N25</f>
        <v>15.025040000000006</v>
      </c>
      <c r="Q25" s="207">
        <v>-8.61</v>
      </c>
      <c r="R25" s="456">
        <f>Июль!N25</f>
        <v>8.531519999999997</v>
      </c>
      <c r="S25" s="207">
        <v>7.46</v>
      </c>
      <c r="T25" s="456">
        <f>Август!N25</f>
        <v>3.9172799999999968</v>
      </c>
      <c r="U25" s="207">
        <v>20.86</v>
      </c>
      <c r="V25" s="461">
        <f>Сентябрь!N25</f>
        <v>-3.4463359999999996</v>
      </c>
      <c r="W25" s="206">
        <v>175.76</v>
      </c>
      <c r="X25" s="461">
        <f>Октябрь!N25</f>
        <v>132.856</v>
      </c>
      <c r="Y25" s="206">
        <v>350.46</v>
      </c>
      <c r="Z25" s="469">
        <v>273.63</v>
      </c>
      <c r="AA25" s="43">
        <v>403.8</v>
      </c>
      <c r="AB25" s="469"/>
      <c r="AC25" s="43">
        <v>186.79</v>
      </c>
      <c r="AD25" s="469"/>
      <c r="AE25" s="430">
        <f t="shared" si="0"/>
        <v>2622.2500000000005</v>
      </c>
      <c r="AF25" s="473">
        <f t="shared" si="1"/>
        <v>1819.630264</v>
      </c>
    </row>
    <row r="26" spans="2:32" s="20" customFormat="1" ht="12.75">
      <c r="B26" s="410">
        <f t="shared" si="2"/>
        <v>21</v>
      </c>
      <c r="C26" s="120" t="s">
        <v>57</v>
      </c>
      <c r="D26" s="416">
        <v>18464.4</v>
      </c>
      <c r="E26" s="416">
        <v>279.01</v>
      </c>
      <c r="F26" s="450">
        <f>Январь!N27</f>
        <v>237.05588000000003</v>
      </c>
      <c r="G26" s="419">
        <v>488.36</v>
      </c>
      <c r="H26" s="456">
        <f>Февраль!N26</f>
        <v>495.84208</v>
      </c>
      <c r="I26" s="207">
        <v>406.87</v>
      </c>
      <c r="J26" s="456">
        <f>Март!N26</f>
        <v>363.64224</v>
      </c>
      <c r="K26" s="207">
        <v>278.52</v>
      </c>
      <c r="L26" s="456">
        <f>Апрель!N26</f>
        <v>296.11940000000004</v>
      </c>
      <c r="M26" s="207">
        <v>101.47</v>
      </c>
      <c r="N26" s="456">
        <f>Май!N26</f>
        <v>35.63996</v>
      </c>
      <c r="O26" s="78">
        <v>25.08</v>
      </c>
      <c r="P26" s="456">
        <f>Июнь!N26</f>
        <v>4.649520000000024</v>
      </c>
      <c r="Q26" s="207">
        <v>10.31</v>
      </c>
      <c r="R26" s="456">
        <f>Июль!N26</f>
        <v>4.652079999999998</v>
      </c>
      <c r="S26" s="207">
        <v>9.21</v>
      </c>
      <c r="T26" s="456">
        <f>Август!N26</f>
        <v>-6.228520000000003</v>
      </c>
      <c r="U26" s="207">
        <v>15.06</v>
      </c>
      <c r="V26" s="461">
        <f>Сентябрь!N26</f>
        <v>-11.720472000000001</v>
      </c>
      <c r="W26" s="206">
        <v>167.88</v>
      </c>
      <c r="X26" s="461">
        <f>Октябрь!N26</f>
        <v>120.252</v>
      </c>
      <c r="Y26" s="206">
        <v>307.62</v>
      </c>
      <c r="Z26" s="469">
        <v>273.55</v>
      </c>
      <c r="AA26" s="43">
        <v>387</v>
      </c>
      <c r="AB26" s="469"/>
      <c r="AC26" s="43">
        <v>182.25</v>
      </c>
      <c r="AD26" s="469"/>
      <c r="AE26" s="430">
        <f t="shared" si="0"/>
        <v>2658.64</v>
      </c>
      <c r="AF26" s="473">
        <f t="shared" si="1"/>
        <v>1813.454168</v>
      </c>
    </row>
    <row r="27" spans="2:32" ht="12.75" customHeight="1">
      <c r="B27" s="410">
        <f t="shared" si="2"/>
        <v>22</v>
      </c>
      <c r="C27" s="120" t="s">
        <v>54</v>
      </c>
      <c r="D27" s="416">
        <v>30266.3</v>
      </c>
      <c r="E27" s="416">
        <v>404.2</v>
      </c>
      <c r="F27" s="450">
        <f>Январь!N28</f>
        <v>374.72588</v>
      </c>
      <c r="G27" s="419">
        <v>716.86</v>
      </c>
      <c r="H27" s="456">
        <f>Февраль!N27</f>
        <v>746.42308</v>
      </c>
      <c r="I27" s="207">
        <v>588.71</v>
      </c>
      <c r="J27" s="456">
        <f>Март!N27</f>
        <v>548.35604</v>
      </c>
      <c r="K27" s="207">
        <v>411.86</v>
      </c>
      <c r="L27" s="456">
        <f>Апрель!N27</f>
        <v>408.03744000000006</v>
      </c>
      <c r="M27" s="207">
        <v>128.69</v>
      </c>
      <c r="N27" s="456">
        <f>Май!N27</f>
        <v>60.99496000000002</v>
      </c>
      <c r="O27" s="78">
        <v>31.95</v>
      </c>
      <c r="P27" s="456">
        <f>Июнь!N27</f>
        <v>22.853800000000007</v>
      </c>
      <c r="Q27" s="207">
        <v>3.97</v>
      </c>
      <c r="R27" s="456">
        <f>Июль!N27</f>
        <v>22.204720000000002</v>
      </c>
      <c r="S27" s="207">
        <v>11.03</v>
      </c>
      <c r="T27" s="456">
        <f>Август!N27</f>
        <v>9.769359999999992</v>
      </c>
      <c r="U27" s="207">
        <v>16.24</v>
      </c>
      <c r="V27" s="461">
        <f>Сентябрь!N27</f>
        <v>14.121255999999988</v>
      </c>
      <c r="W27" s="206">
        <v>301.47</v>
      </c>
      <c r="X27" s="461">
        <f>Октябрь!N27</f>
        <v>218.762</v>
      </c>
      <c r="Y27" s="206">
        <v>481.44</v>
      </c>
      <c r="Z27" s="469">
        <v>416.37</v>
      </c>
      <c r="AA27" s="43">
        <v>608.99</v>
      </c>
      <c r="AB27" s="469"/>
      <c r="AC27" s="43">
        <v>280.4</v>
      </c>
      <c r="AD27" s="469"/>
      <c r="AE27" s="430">
        <f t="shared" si="0"/>
        <v>3985.81</v>
      </c>
      <c r="AF27" s="473">
        <f t="shared" si="1"/>
        <v>2842.618536</v>
      </c>
    </row>
    <row r="28" spans="2:32" s="20" customFormat="1" ht="12.75">
      <c r="B28" s="410">
        <f t="shared" si="2"/>
        <v>23</v>
      </c>
      <c r="C28" s="433" t="s">
        <v>60</v>
      </c>
      <c r="D28" s="416">
        <v>24146</v>
      </c>
      <c r="E28" s="416">
        <v>347.92</v>
      </c>
      <c r="F28" s="450">
        <f>Январь!N29</f>
        <v>298.56327999999996</v>
      </c>
      <c r="G28" s="419">
        <v>615.25</v>
      </c>
      <c r="H28" s="456">
        <f>Февраль!N28</f>
        <v>591.18488</v>
      </c>
      <c r="I28" s="207">
        <v>480.16</v>
      </c>
      <c r="J28" s="456">
        <f>Март!N28</f>
        <v>412.77867999999995</v>
      </c>
      <c r="K28" s="207">
        <v>317.88</v>
      </c>
      <c r="L28" s="456">
        <f>Апрель!N28</f>
        <v>273.68196</v>
      </c>
      <c r="M28" s="207">
        <v>117.89</v>
      </c>
      <c r="N28" s="456">
        <f>Май!N28</f>
        <v>23.068760000000008</v>
      </c>
      <c r="O28" s="78">
        <v>23.71</v>
      </c>
      <c r="P28" s="456">
        <f>Июнь!N28</f>
        <v>6.824040000000011</v>
      </c>
      <c r="Q28" s="207">
        <v>7.53</v>
      </c>
      <c r="R28" s="456">
        <f>Июль!N28</f>
        <v>1.3112800000000016</v>
      </c>
      <c r="S28" s="207">
        <v>12.06</v>
      </c>
      <c r="T28" s="456">
        <f>Август!N28</f>
        <v>-9.991079999999998</v>
      </c>
      <c r="U28" s="207">
        <v>7.58</v>
      </c>
      <c r="V28" s="461">
        <f>Сентябрь!N28</f>
        <v>-17.465460000000014</v>
      </c>
      <c r="W28" s="206">
        <v>186.83</v>
      </c>
      <c r="X28" s="461">
        <f>Октябрь!N28</f>
        <v>131.51600000000002</v>
      </c>
      <c r="Y28" s="205">
        <v>376.71</v>
      </c>
      <c r="Z28" s="466">
        <v>319.53</v>
      </c>
      <c r="AA28" s="69">
        <v>476.29</v>
      </c>
      <c r="AB28" s="466"/>
      <c r="AC28" s="69">
        <v>221.24</v>
      </c>
      <c r="AD28" s="466"/>
      <c r="AE28" s="430">
        <f t="shared" si="0"/>
        <v>3191.05</v>
      </c>
      <c r="AF28" s="473">
        <f t="shared" si="1"/>
        <v>2031.0023399999998</v>
      </c>
    </row>
    <row r="29" spans="2:32" ht="12.75" customHeight="1">
      <c r="B29" s="410">
        <f t="shared" si="2"/>
        <v>24</v>
      </c>
      <c r="C29" s="120" t="s">
        <v>63</v>
      </c>
      <c r="D29" s="416">
        <v>20258.6</v>
      </c>
      <c r="E29" s="416">
        <v>290.13</v>
      </c>
      <c r="F29" s="450">
        <f>Январь!N30</f>
        <v>242.66449999999998</v>
      </c>
      <c r="G29" s="419">
        <v>472.69</v>
      </c>
      <c r="H29" s="456">
        <f>Февраль!N29</f>
        <v>541.4191000000001</v>
      </c>
      <c r="I29" s="207">
        <v>406.82</v>
      </c>
      <c r="J29" s="456">
        <f>Март!N29</f>
        <v>383.4348</v>
      </c>
      <c r="K29" s="207">
        <v>268.21</v>
      </c>
      <c r="L29" s="456">
        <f>Апрель!N29</f>
        <v>254.68900000000002</v>
      </c>
      <c r="M29" s="207">
        <v>88.58</v>
      </c>
      <c r="N29" s="456">
        <f>Май!N29</f>
        <v>27.384199999999993</v>
      </c>
      <c r="O29" s="78">
        <v>31.63</v>
      </c>
      <c r="P29" s="456">
        <f>Июнь!N29</f>
        <v>10.74286</v>
      </c>
      <c r="Q29" s="207">
        <v>22.96</v>
      </c>
      <c r="R29" s="456">
        <f>Июль!N29</f>
        <v>11.795719999999998</v>
      </c>
      <c r="S29" s="207">
        <v>18.36</v>
      </c>
      <c r="T29" s="456">
        <f>Август!N29</f>
        <v>-3.2478599999999895</v>
      </c>
      <c r="U29" s="207">
        <v>25.2</v>
      </c>
      <c r="V29" s="461">
        <f>Сентябрь!N29</f>
        <v>28.687163999999996</v>
      </c>
      <c r="W29" s="206">
        <v>173.91</v>
      </c>
      <c r="X29" s="461">
        <f>Октябрь!N29</f>
        <v>141.178</v>
      </c>
      <c r="Y29" s="206">
        <v>324.02</v>
      </c>
      <c r="Z29" s="160">
        <v>286.2</v>
      </c>
      <c r="AA29" s="43">
        <v>408.08</v>
      </c>
      <c r="AB29" s="469"/>
      <c r="AC29" s="43">
        <v>216.23</v>
      </c>
      <c r="AD29" s="469"/>
      <c r="AE29" s="430">
        <f t="shared" si="0"/>
        <v>2746.82</v>
      </c>
      <c r="AF29" s="473">
        <f t="shared" si="1"/>
        <v>1924.947484</v>
      </c>
    </row>
    <row r="30" spans="2:32" ht="12.75" customHeight="1">
      <c r="B30" s="410">
        <f t="shared" si="2"/>
        <v>25</v>
      </c>
      <c r="C30" s="120" t="s">
        <v>55</v>
      </c>
      <c r="D30" s="416">
        <v>6735.1</v>
      </c>
      <c r="E30" s="416">
        <v>105.42</v>
      </c>
      <c r="F30" s="450">
        <f>Январь!N31</f>
        <v>76.2481</v>
      </c>
      <c r="G30" s="419">
        <v>179.98</v>
      </c>
      <c r="H30" s="456">
        <f>Февраль!N30</f>
        <v>170.76919999999998</v>
      </c>
      <c r="I30" s="207">
        <v>141.27</v>
      </c>
      <c r="J30" s="456">
        <f>Март!N30</f>
        <v>114.02350000000001</v>
      </c>
      <c r="K30" s="207">
        <v>79.33</v>
      </c>
      <c r="L30" s="456">
        <f>Апрель!N30</f>
        <v>67.437</v>
      </c>
      <c r="M30" s="207">
        <v>25.6</v>
      </c>
      <c r="N30" s="456">
        <f>Май!N30</f>
        <v>3.8215000000000003</v>
      </c>
      <c r="O30" s="78">
        <v>16.5</v>
      </c>
      <c r="P30" s="456">
        <f>Июнь!N30</f>
        <v>2.7420000000000044</v>
      </c>
      <c r="Q30" s="207">
        <v>10.28</v>
      </c>
      <c r="R30" s="456">
        <f>Июль!N30</f>
        <v>13.374200000000002</v>
      </c>
      <c r="S30" s="207">
        <v>10.98</v>
      </c>
      <c r="T30" s="456">
        <f>Август!N30</f>
        <v>4.195999999999998</v>
      </c>
      <c r="U30" s="207">
        <v>13.48</v>
      </c>
      <c r="V30" s="461">
        <f>Сентябрь!N30</f>
        <v>8.509179999999997</v>
      </c>
      <c r="W30" s="206">
        <v>55.35</v>
      </c>
      <c r="X30" s="461">
        <f>Октябрь!N30</f>
        <v>49.154</v>
      </c>
      <c r="Y30" s="206">
        <v>109.02</v>
      </c>
      <c r="Z30" s="469">
        <v>131.22</v>
      </c>
      <c r="AA30" s="43">
        <v>131.28</v>
      </c>
      <c r="AB30" s="469"/>
      <c r="AC30" s="43">
        <v>64.63</v>
      </c>
      <c r="AD30" s="469"/>
      <c r="AE30" s="430">
        <f t="shared" si="0"/>
        <v>943.1199999999999</v>
      </c>
      <c r="AF30" s="473">
        <f t="shared" si="1"/>
        <v>641.4946800000001</v>
      </c>
    </row>
    <row r="31" spans="2:32" ht="12.75" customHeight="1">
      <c r="B31" s="410">
        <f t="shared" si="2"/>
        <v>26</v>
      </c>
      <c r="C31" s="120" t="s">
        <v>42</v>
      </c>
      <c r="D31" s="416">
        <v>13989.3</v>
      </c>
      <c r="E31" s="416">
        <v>196.91</v>
      </c>
      <c r="F31" s="450">
        <f>Январь!N32</f>
        <v>148.9785</v>
      </c>
      <c r="G31" s="419">
        <v>307.7</v>
      </c>
      <c r="H31" s="456">
        <f>Февраль!N31</f>
        <v>326.2396</v>
      </c>
      <c r="I31" s="207">
        <v>269.75</v>
      </c>
      <c r="J31" s="456">
        <f>Март!N31</f>
        <v>232.87689999999998</v>
      </c>
      <c r="K31" s="207">
        <v>174.84</v>
      </c>
      <c r="L31" s="456">
        <f>Апрель!N31</f>
        <v>144.66419999999997</v>
      </c>
      <c r="M31" s="207">
        <v>59.66</v>
      </c>
      <c r="N31" s="456">
        <f>Май!N31</f>
        <v>1.4405999999999892</v>
      </c>
      <c r="O31" s="78">
        <v>22.58</v>
      </c>
      <c r="P31" s="456">
        <f>Июнь!N31</f>
        <v>-10.323600000000013</v>
      </c>
      <c r="Q31" s="207">
        <v>13.91</v>
      </c>
      <c r="R31" s="456">
        <f>Июль!N31</f>
        <v>11.777799999999992</v>
      </c>
      <c r="S31" s="207">
        <v>12.59</v>
      </c>
      <c r="T31" s="456">
        <f>Август!N31</f>
        <v>-0.5705999999999989</v>
      </c>
      <c r="U31" s="207">
        <v>16.7</v>
      </c>
      <c r="V31" s="461">
        <f>Сентябрь!N31</f>
        <v>15.81507599999999</v>
      </c>
      <c r="W31" s="206">
        <v>95.19</v>
      </c>
      <c r="X31" s="461">
        <f>Октябрь!N31</f>
        <v>90.09400000000001</v>
      </c>
      <c r="Y31" s="206">
        <v>200.82</v>
      </c>
      <c r="Z31" s="469">
        <v>182.95</v>
      </c>
      <c r="AA31" s="43">
        <v>266.44</v>
      </c>
      <c r="AB31" s="469"/>
      <c r="AC31" s="43">
        <v>138.39</v>
      </c>
      <c r="AD31" s="469"/>
      <c r="AE31" s="430">
        <f t="shared" si="0"/>
        <v>1775.48</v>
      </c>
      <c r="AF31" s="473">
        <f t="shared" si="1"/>
        <v>1143.942476</v>
      </c>
    </row>
    <row r="32" spans="2:32" ht="12.75" customHeight="1">
      <c r="B32" s="410">
        <f t="shared" si="2"/>
        <v>27</v>
      </c>
      <c r="C32" s="120" t="s">
        <v>2</v>
      </c>
      <c r="D32" s="416">
        <v>13695.4</v>
      </c>
      <c r="E32" s="416">
        <v>182.58</v>
      </c>
      <c r="F32" s="450">
        <f>Январь!N33</f>
        <v>146.8581</v>
      </c>
      <c r="G32" s="419">
        <v>291.7</v>
      </c>
      <c r="H32" s="456">
        <f>Февраль!N32</f>
        <v>302.5344</v>
      </c>
      <c r="I32" s="207">
        <v>259.97</v>
      </c>
      <c r="J32" s="456">
        <f>Март!N32</f>
        <v>249.60109999999997</v>
      </c>
      <c r="K32" s="207">
        <v>181.76</v>
      </c>
      <c r="L32" s="456">
        <f>Апрель!N32</f>
        <v>162.93110000000001</v>
      </c>
      <c r="M32" s="207">
        <v>51.39</v>
      </c>
      <c r="N32" s="456">
        <f>Май!N32</f>
        <v>4.753599999999977</v>
      </c>
      <c r="O32" s="78">
        <v>28.28</v>
      </c>
      <c r="P32" s="456">
        <f>Июнь!N32</f>
        <v>7.69516</v>
      </c>
      <c r="Q32" s="207">
        <v>14.9</v>
      </c>
      <c r="R32" s="456">
        <f>Июль!N32</f>
        <v>13.204279999999997</v>
      </c>
      <c r="S32" s="207">
        <v>17.12</v>
      </c>
      <c r="T32" s="456">
        <f>Август!N32</f>
        <v>9.891079999999995</v>
      </c>
      <c r="U32" s="207">
        <v>20.12</v>
      </c>
      <c r="V32" s="461">
        <f>Сентябрь!N32</f>
        <v>22.738268000000005</v>
      </c>
      <c r="W32" s="206">
        <v>96.74</v>
      </c>
      <c r="X32" s="461">
        <f>Октябрь!N32</f>
        <v>114.638</v>
      </c>
      <c r="Y32" s="206">
        <v>208.16</v>
      </c>
      <c r="Z32" s="469">
        <v>208.74</v>
      </c>
      <c r="AA32" s="43">
        <v>272.37</v>
      </c>
      <c r="AB32" s="469"/>
      <c r="AC32" s="43">
        <v>138.29</v>
      </c>
      <c r="AD32" s="469"/>
      <c r="AE32" s="430">
        <f t="shared" si="0"/>
        <v>1763.3799999999997</v>
      </c>
      <c r="AF32" s="473">
        <f t="shared" si="1"/>
        <v>1243.585088</v>
      </c>
    </row>
    <row r="33" spans="2:32" ht="12.75">
      <c r="B33" s="410">
        <f t="shared" si="2"/>
        <v>28</v>
      </c>
      <c r="C33" s="120" t="s">
        <v>3</v>
      </c>
      <c r="D33" s="416">
        <v>6360.3</v>
      </c>
      <c r="E33" s="416">
        <v>103.18</v>
      </c>
      <c r="F33" s="450">
        <f>Январь!N34</f>
        <v>80.4072</v>
      </c>
      <c r="G33" s="419">
        <v>168.26</v>
      </c>
      <c r="H33" s="456">
        <f>Февраль!N33</f>
        <v>176.7852</v>
      </c>
      <c r="I33" s="207">
        <v>151.53</v>
      </c>
      <c r="J33" s="456">
        <f>Март!N33</f>
        <v>135.0944</v>
      </c>
      <c r="K33" s="207">
        <v>105.61</v>
      </c>
      <c r="L33" s="456">
        <f>Апрель!N33</f>
        <v>101.34200000000001</v>
      </c>
      <c r="M33" s="207">
        <v>32.52</v>
      </c>
      <c r="N33" s="456">
        <f>Май!N33</f>
        <v>16.7997</v>
      </c>
      <c r="O33" s="78">
        <v>19.86</v>
      </c>
      <c r="P33" s="456">
        <f>Июнь!N33</f>
        <v>10.30412</v>
      </c>
      <c r="Q33" s="207">
        <v>14.65</v>
      </c>
      <c r="R33" s="456">
        <f>Июль!N33</f>
        <v>6.680739999999997</v>
      </c>
      <c r="S33" s="207">
        <v>14.82</v>
      </c>
      <c r="T33" s="456">
        <f>Август!N33</f>
        <v>12.254159999999997</v>
      </c>
      <c r="U33" s="207">
        <v>15.57</v>
      </c>
      <c r="V33" s="461">
        <f>Сентябрь!N33</f>
        <v>19.251444</v>
      </c>
      <c r="W33" s="206">
        <v>71.96</v>
      </c>
      <c r="X33" s="461">
        <f>Октябрь!N33</f>
        <v>74.472</v>
      </c>
      <c r="Y33" s="206">
        <v>126.84</v>
      </c>
      <c r="Z33" s="469">
        <v>117.74</v>
      </c>
      <c r="AA33" s="43">
        <v>150.68</v>
      </c>
      <c r="AB33" s="469"/>
      <c r="AC33" s="43">
        <v>77.55</v>
      </c>
      <c r="AD33" s="469"/>
      <c r="AE33" s="430">
        <f t="shared" si="0"/>
        <v>1053.0300000000002</v>
      </c>
      <c r="AF33" s="473">
        <f t="shared" si="1"/>
        <v>751.1309640000001</v>
      </c>
    </row>
    <row r="34" spans="2:32" ht="12.75">
      <c r="B34" s="410">
        <f t="shared" si="2"/>
        <v>29</v>
      </c>
      <c r="C34" s="120" t="s">
        <v>4</v>
      </c>
      <c r="D34" s="416">
        <v>12946.5</v>
      </c>
      <c r="E34" s="416">
        <v>197.23</v>
      </c>
      <c r="F34" s="450">
        <f>Январь!N35</f>
        <v>147.9957</v>
      </c>
      <c r="G34" s="419">
        <v>321.6</v>
      </c>
      <c r="H34" s="456">
        <f>Февраль!N34</f>
        <v>333.841</v>
      </c>
      <c r="I34" s="207">
        <v>273.86</v>
      </c>
      <c r="J34" s="456">
        <f>Март!N34</f>
        <v>228.78159999999997</v>
      </c>
      <c r="K34" s="207">
        <v>188.63</v>
      </c>
      <c r="L34" s="456">
        <f>Апрель!N34</f>
        <v>152.8097</v>
      </c>
      <c r="M34" s="207">
        <v>49.1</v>
      </c>
      <c r="N34" s="456">
        <f>Май!N34</f>
        <v>8.194900000000004</v>
      </c>
      <c r="O34" s="78">
        <v>35.29</v>
      </c>
      <c r="P34" s="456">
        <f>Июнь!N34</f>
        <v>11.3169</v>
      </c>
      <c r="Q34" s="207">
        <v>21.87</v>
      </c>
      <c r="R34" s="456">
        <f>Июль!N34</f>
        <v>10.576999999999998</v>
      </c>
      <c r="S34" s="207">
        <v>25.81</v>
      </c>
      <c r="T34" s="456">
        <f>Август!N34</f>
        <v>16.14248</v>
      </c>
      <c r="U34" s="207">
        <v>29.12</v>
      </c>
      <c r="V34" s="461">
        <f>Сентябрь!N34</f>
        <v>12.153164</v>
      </c>
      <c r="W34" s="206">
        <v>103.4</v>
      </c>
      <c r="X34" s="461">
        <f>Октябрь!N34</f>
        <v>114.788</v>
      </c>
      <c r="Y34" s="206">
        <v>203.46</v>
      </c>
      <c r="Z34" s="469">
        <v>211.38</v>
      </c>
      <c r="AA34" s="43">
        <v>250.59</v>
      </c>
      <c r="AB34" s="469"/>
      <c r="AC34" s="43">
        <v>135.21</v>
      </c>
      <c r="AD34" s="469"/>
      <c r="AE34" s="430">
        <f t="shared" si="0"/>
        <v>1835.1699999999998</v>
      </c>
      <c r="AF34" s="473">
        <f t="shared" si="1"/>
        <v>1247.9804439999998</v>
      </c>
    </row>
    <row r="35" spans="2:32" ht="12.75">
      <c r="B35" s="410">
        <f t="shared" si="2"/>
        <v>30</v>
      </c>
      <c r="C35" s="120" t="s">
        <v>5</v>
      </c>
      <c r="D35" s="416">
        <v>12207.7</v>
      </c>
      <c r="E35" s="416">
        <v>177.41</v>
      </c>
      <c r="F35" s="450">
        <f>Январь!N36</f>
        <v>165.10180000000003</v>
      </c>
      <c r="G35" s="419">
        <v>279.72</v>
      </c>
      <c r="H35" s="456">
        <f>Февраль!N35</f>
        <v>267.9792</v>
      </c>
      <c r="I35" s="207">
        <v>237.08</v>
      </c>
      <c r="J35" s="456">
        <f>Март!N35</f>
        <v>209.8748</v>
      </c>
      <c r="K35" s="207">
        <v>156.9</v>
      </c>
      <c r="L35" s="456">
        <f>Апрель!N35</f>
        <v>137.3448</v>
      </c>
      <c r="M35" s="207">
        <v>46.85</v>
      </c>
      <c r="N35" s="456">
        <f>Май!N35</f>
        <v>-2.591000000000001</v>
      </c>
      <c r="O35" s="78">
        <v>21.42</v>
      </c>
      <c r="P35" s="456">
        <f>Июнь!N35</f>
        <v>-0.44879999999999143</v>
      </c>
      <c r="Q35" s="207">
        <v>11.68</v>
      </c>
      <c r="R35" s="456">
        <f>Июль!N35</f>
        <v>7.822599999999994</v>
      </c>
      <c r="S35" s="207">
        <v>5.82</v>
      </c>
      <c r="T35" s="456">
        <f>Август!N35</f>
        <v>3.8941000000000017</v>
      </c>
      <c r="U35" s="207">
        <v>16.94</v>
      </c>
      <c r="V35" s="461">
        <f>Сентябрь!N35</f>
        <v>10.773164000000001</v>
      </c>
      <c r="W35" s="206">
        <v>144.6</v>
      </c>
      <c r="X35" s="461">
        <f>Октябрь!N35</f>
        <v>86.31800000000001</v>
      </c>
      <c r="Y35" s="206">
        <v>255.76</v>
      </c>
      <c r="Z35" s="469">
        <v>200.85</v>
      </c>
      <c r="AA35" s="43">
        <v>243.1</v>
      </c>
      <c r="AB35" s="469"/>
      <c r="AC35" s="43">
        <v>141.13</v>
      </c>
      <c r="AD35" s="469"/>
      <c r="AE35" s="430">
        <f t="shared" si="0"/>
        <v>1738.4099999999999</v>
      </c>
      <c r="AF35" s="473">
        <f t="shared" si="1"/>
        <v>1086.9186639999998</v>
      </c>
    </row>
    <row r="36" spans="2:32" ht="12.75">
      <c r="B36" s="410">
        <f t="shared" si="2"/>
        <v>31</v>
      </c>
      <c r="C36" s="120" t="s">
        <v>6</v>
      </c>
      <c r="D36" s="416">
        <v>4902.2</v>
      </c>
      <c r="E36" s="416">
        <v>66.81</v>
      </c>
      <c r="F36" s="450">
        <f>Январь!N37</f>
        <v>58.0497</v>
      </c>
      <c r="G36" s="419">
        <v>111.51</v>
      </c>
      <c r="H36" s="456">
        <f>Февраль!N36</f>
        <v>113.68450000000001</v>
      </c>
      <c r="I36" s="207">
        <v>95.25</v>
      </c>
      <c r="J36" s="456">
        <f>Март!N36</f>
        <v>88.3724</v>
      </c>
      <c r="K36" s="207">
        <v>60.81</v>
      </c>
      <c r="L36" s="456">
        <f>Апрель!N36</f>
        <v>55.9816</v>
      </c>
      <c r="M36" s="207">
        <v>23.38</v>
      </c>
      <c r="N36" s="456">
        <f>Май!N36</f>
        <v>3.2744</v>
      </c>
      <c r="O36" s="78">
        <v>7.83</v>
      </c>
      <c r="P36" s="456">
        <f>Июнь!N36</f>
        <v>0.17740000000000578</v>
      </c>
      <c r="Q36" s="207">
        <v>6.06</v>
      </c>
      <c r="R36" s="456">
        <f>Июль!N36</f>
        <v>1.8000000000000007</v>
      </c>
      <c r="S36" s="207">
        <v>5.33</v>
      </c>
      <c r="T36" s="456">
        <f>Август!N36</f>
        <v>2.7073</v>
      </c>
      <c r="U36" s="207">
        <v>5.73</v>
      </c>
      <c r="V36" s="461">
        <f>Сентябрь!N36</f>
        <v>6.617476</v>
      </c>
      <c r="W36" s="206">
        <v>40.94</v>
      </c>
      <c r="X36" s="461">
        <f>Октябрь!N36</f>
        <v>37.745999999999995</v>
      </c>
      <c r="Y36" s="206">
        <v>72.58</v>
      </c>
      <c r="Z36" s="469">
        <v>62.63</v>
      </c>
      <c r="AA36" s="43">
        <v>93.79</v>
      </c>
      <c r="AB36" s="469"/>
      <c r="AC36" s="43">
        <v>48.13</v>
      </c>
      <c r="AD36" s="469"/>
      <c r="AE36" s="430">
        <f t="shared" si="0"/>
        <v>638.15</v>
      </c>
      <c r="AF36" s="473">
        <f t="shared" si="1"/>
        <v>431.04077600000005</v>
      </c>
    </row>
    <row r="37" spans="2:32" ht="12.75">
      <c r="B37" s="410">
        <f t="shared" si="2"/>
        <v>32</v>
      </c>
      <c r="C37" s="120" t="s">
        <v>64</v>
      </c>
      <c r="D37" s="416">
        <v>19674.8</v>
      </c>
      <c r="E37" s="416">
        <v>288.35</v>
      </c>
      <c r="F37" s="450">
        <f>Январь!N38</f>
        <v>229.02570000000003</v>
      </c>
      <c r="G37" s="419">
        <v>459.43</v>
      </c>
      <c r="H37" s="456">
        <f>Февраль!N37</f>
        <v>489.9494</v>
      </c>
      <c r="I37" s="207">
        <v>407.16</v>
      </c>
      <c r="J37" s="456">
        <f>Март!N37</f>
        <v>330.2773</v>
      </c>
      <c r="K37" s="207">
        <v>282.89</v>
      </c>
      <c r="L37" s="456">
        <f>Апрель!N37</f>
        <v>215.87599999999998</v>
      </c>
      <c r="M37" s="207">
        <v>95.11</v>
      </c>
      <c r="N37" s="456">
        <f>Май!N37</f>
        <v>14.933499999999995</v>
      </c>
      <c r="O37" s="78">
        <v>35.3</v>
      </c>
      <c r="P37" s="456">
        <f>Июнь!N37</f>
        <v>16.40874</v>
      </c>
      <c r="Q37" s="207">
        <v>20.81</v>
      </c>
      <c r="R37" s="456">
        <f>Июль!N37</f>
        <v>17.97873999999999</v>
      </c>
      <c r="S37" s="207">
        <v>16.9</v>
      </c>
      <c r="T37" s="456">
        <f>Август!N37</f>
        <v>17.619859999999985</v>
      </c>
      <c r="U37" s="207">
        <v>26.93</v>
      </c>
      <c r="V37" s="461">
        <f>Сентябрь!N37</f>
        <v>33.260456000000005</v>
      </c>
      <c r="W37" s="206">
        <v>171.41</v>
      </c>
      <c r="X37" s="461">
        <f>Октябрь!N37</f>
        <v>154.29000000000002</v>
      </c>
      <c r="Y37" s="206">
        <v>330.42</v>
      </c>
      <c r="Z37" s="160">
        <v>272.25</v>
      </c>
      <c r="AA37" s="43">
        <v>393.82</v>
      </c>
      <c r="AB37" s="469"/>
      <c r="AC37" s="43">
        <v>194.18</v>
      </c>
      <c r="AD37" s="469"/>
      <c r="AE37" s="430">
        <f t="shared" si="0"/>
        <v>2722.71</v>
      </c>
      <c r="AF37" s="473">
        <f t="shared" si="1"/>
        <v>1791.8696960000002</v>
      </c>
    </row>
    <row r="38" spans="2:32" ht="12.75">
      <c r="B38" s="410">
        <f t="shared" si="2"/>
        <v>33</v>
      </c>
      <c r="C38" s="120" t="s">
        <v>7</v>
      </c>
      <c r="D38" s="416">
        <v>10939</v>
      </c>
      <c r="E38" s="416">
        <v>168.71</v>
      </c>
      <c r="F38" s="450">
        <f>Январь!N39</f>
        <v>120.7251</v>
      </c>
      <c r="G38" s="419">
        <v>275.25</v>
      </c>
      <c r="H38" s="456">
        <f>Февраль!N38</f>
        <v>294.5193</v>
      </c>
      <c r="I38" s="207">
        <v>231.98</v>
      </c>
      <c r="J38" s="456">
        <f>Март!N38</f>
        <v>223.75789999999998</v>
      </c>
      <c r="K38" s="207">
        <v>161.61</v>
      </c>
      <c r="L38" s="456">
        <f>Апрель!N38</f>
        <v>164.58520000000001</v>
      </c>
      <c r="M38" s="207">
        <v>60.62</v>
      </c>
      <c r="N38" s="456">
        <f>Май!N38</f>
        <v>25.471899999999998</v>
      </c>
      <c r="O38" s="78">
        <v>46.87</v>
      </c>
      <c r="P38" s="456">
        <f>Июнь!N38</f>
        <v>17.9648</v>
      </c>
      <c r="Q38" s="207">
        <v>30.01</v>
      </c>
      <c r="R38" s="456">
        <f>Июль!N38</f>
        <v>13.712460000000002</v>
      </c>
      <c r="S38" s="207">
        <v>32.22</v>
      </c>
      <c r="T38" s="456">
        <f>Август!N38</f>
        <v>5.434899999999999</v>
      </c>
      <c r="U38" s="207">
        <v>26.82</v>
      </c>
      <c r="V38" s="461">
        <f>Сентябрь!N38</f>
        <v>13.380707999999997</v>
      </c>
      <c r="W38" s="206">
        <v>97.8</v>
      </c>
      <c r="X38" s="461">
        <f>Октябрь!N38</f>
        <v>111.286</v>
      </c>
      <c r="Y38" s="206">
        <v>192.56</v>
      </c>
      <c r="Z38" s="469">
        <v>185.52</v>
      </c>
      <c r="AA38" s="43">
        <v>243.09</v>
      </c>
      <c r="AB38" s="469"/>
      <c r="AC38" s="43">
        <v>119.8</v>
      </c>
      <c r="AD38" s="469"/>
      <c r="AE38" s="430">
        <f t="shared" si="0"/>
        <v>1687.34</v>
      </c>
      <c r="AF38" s="473">
        <f t="shared" si="1"/>
        <v>1176.358268</v>
      </c>
    </row>
    <row r="39" spans="2:32" ht="12.75">
      <c r="B39" s="410">
        <f t="shared" si="2"/>
        <v>34</v>
      </c>
      <c r="C39" s="120" t="s">
        <v>8</v>
      </c>
      <c r="D39" s="416">
        <v>6730.4</v>
      </c>
      <c r="E39" s="416">
        <v>99.13</v>
      </c>
      <c r="F39" s="450">
        <f>Январь!N40</f>
        <v>86.03389999999999</v>
      </c>
      <c r="G39" s="419">
        <v>162.14</v>
      </c>
      <c r="H39" s="456">
        <f>Февраль!N39</f>
        <v>201.8936</v>
      </c>
      <c r="I39" s="207">
        <v>146.73</v>
      </c>
      <c r="J39" s="456">
        <f>Март!N39</f>
        <v>137.55219999999997</v>
      </c>
      <c r="K39" s="207">
        <v>106.5</v>
      </c>
      <c r="L39" s="456">
        <f>Апрель!N39</f>
        <v>94.5901</v>
      </c>
      <c r="M39" s="207">
        <v>49.58</v>
      </c>
      <c r="N39" s="456">
        <f>Май!N39</f>
        <v>18.537</v>
      </c>
      <c r="O39" s="78">
        <v>34.16</v>
      </c>
      <c r="P39" s="456">
        <f>Июнь!N39</f>
        <v>15.572299999999991</v>
      </c>
      <c r="Q39" s="207">
        <v>27.03</v>
      </c>
      <c r="R39" s="456">
        <f>Июль!N39</f>
        <v>11.988499999999995</v>
      </c>
      <c r="S39" s="207">
        <v>23.52</v>
      </c>
      <c r="T39" s="456">
        <f>Август!N39</f>
        <v>18.0788</v>
      </c>
      <c r="U39" s="207">
        <v>29.44</v>
      </c>
      <c r="V39" s="461">
        <f>Сентябрь!N39</f>
        <v>23.904559999999996</v>
      </c>
      <c r="W39" s="206">
        <v>72.44</v>
      </c>
      <c r="X39" s="461">
        <f>Октябрь!N39</f>
        <v>77.504</v>
      </c>
      <c r="Y39" s="206">
        <v>138.48</v>
      </c>
      <c r="Z39" s="469">
        <v>120.44</v>
      </c>
      <c r="AA39" s="43">
        <v>172.91</v>
      </c>
      <c r="AB39" s="469"/>
      <c r="AC39" s="43">
        <v>80.17</v>
      </c>
      <c r="AD39" s="469"/>
      <c r="AE39" s="430">
        <f t="shared" si="0"/>
        <v>1142.2300000000002</v>
      </c>
      <c r="AF39" s="473">
        <f t="shared" si="1"/>
        <v>806.0949600000001</v>
      </c>
    </row>
    <row r="40" spans="2:32" ht="12.75">
      <c r="B40" s="410">
        <f t="shared" si="2"/>
        <v>35</v>
      </c>
      <c r="C40" s="120" t="s">
        <v>9</v>
      </c>
      <c r="D40" s="416">
        <v>6586.2</v>
      </c>
      <c r="E40" s="416">
        <v>87.25</v>
      </c>
      <c r="F40" s="450">
        <f>Январь!N41</f>
        <v>70.01339999999999</v>
      </c>
      <c r="G40" s="419">
        <v>141.28</v>
      </c>
      <c r="H40" s="456">
        <f>Февраль!N40</f>
        <v>158.6821</v>
      </c>
      <c r="I40" s="207">
        <v>127.21</v>
      </c>
      <c r="J40" s="456">
        <f>Март!N40</f>
        <v>121.14020000000001</v>
      </c>
      <c r="K40" s="207">
        <v>76.6</v>
      </c>
      <c r="L40" s="456">
        <f>Апрель!N40</f>
        <v>73.6482</v>
      </c>
      <c r="M40" s="207">
        <v>-2.41</v>
      </c>
      <c r="N40" s="456">
        <f>Май!N40</f>
        <v>4.1710999999999885</v>
      </c>
      <c r="O40" s="78">
        <v>0</v>
      </c>
      <c r="P40" s="456">
        <f>Июнь!N40</f>
        <v>-0.12557999999999422</v>
      </c>
      <c r="Q40" s="207">
        <v>0</v>
      </c>
      <c r="R40" s="456">
        <f>Июль!N40</f>
        <v>5.200599999999999</v>
      </c>
      <c r="S40" s="207">
        <v>0</v>
      </c>
      <c r="T40" s="456">
        <f>Август!N40</f>
        <v>6.7119</v>
      </c>
      <c r="U40" s="207">
        <v>0</v>
      </c>
      <c r="V40" s="461">
        <f>Сентябрь!N40</f>
        <v>9.460123999999999</v>
      </c>
      <c r="W40" s="206">
        <v>56.34</v>
      </c>
      <c r="X40" s="461">
        <f>Октябрь!N40</f>
        <v>65.45400000000001</v>
      </c>
      <c r="Y40" s="206">
        <v>105.49</v>
      </c>
      <c r="Z40" s="469">
        <v>102.87</v>
      </c>
      <c r="AA40" s="43">
        <v>129.43</v>
      </c>
      <c r="AB40" s="469"/>
      <c r="AC40" s="43">
        <v>68.64</v>
      </c>
      <c r="AD40" s="469"/>
      <c r="AE40" s="430">
        <f t="shared" si="0"/>
        <v>789.83</v>
      </c>
      <c r="AF40" s="473">
        <f t="shared" si="1"/>
        <v>617.2260439999999</v>
      </c>
    </row>
    <row r="41" spans="2:32" ht="12.75">
      <c r="B41" s="410">
        <f t="shared" si="2"/>
        <v>36</v>
      </c>
      <c r="C41" s="120" t="s">
        <v>10</v>
      </c>
      <c r="D41" s="416">
        <v>2378.8</v>
      </c>
      <c r="E41" s="416">
        <v>47.79</v>
      </c>
      <c r="F41" s="450">
        <f>Январь!N42</f>
        <v>36.4613</v>
      </c>
      <c r="G41" s="419">
        <v>78.38</v>
      </c>
      <c r="H41" s="456">
        <f>Февраль!N41</f>
        <v>75.1037</v>
      </c>
      <c r="I41" s="207">
        <v>62.61</v>
      </c>
      <c r="J41" s="456">
        <f>Март!N41</f>
        <v>38.6823</v>
      </c>
      <c r="K41" s="207">
        <v>44.33</v>
      </c>
      <c r="L41" s="456">
        <f>Апрель!N41</f>
        <v>38.420500000000004</v>
      </c>
      <c r="M41" s="207">
        <v>10.03</v>
      </c>
      <c r="N41" s="456">
        <f>Май!N41</f>
        <v>4.855500000000001</v>
      </c>
      <c r="O41" s="78">
        <v>6.56</v>
      </c>
      <c r="P41" s="456">
        <f>Июнь!N41</f>
        <v>5.048339999999998</v>
      </c>
      <c r="Q41" s="207">
        <v>4.59</v>
      </c>
      <c r="R41" s="456">
        <f>Июль!N41</f>
        <v>3.9236400000000002</v>
      </c>
      <c r="S41" s="207">
        <v>6.06</v>
      </c>
      <c r="T41" s="456">
        <f>Август!N41</f>
        <v>6.6257600000000005</v>
      </c>
      <c r="U41" s="207">
        <v>7.7</v>
      </c>
      <c r="V41" s="461">
        <f>Сентябрь!N41</f>
        <v>7.4227479999999995</v>
      </c>
      <c r="W41" s="206">
        <v>50.77</v>
      </c>
      <c r="X41" s="461">
        <f>Октябрь!N41</f>
        <v>33.67</v>
      </c>
      <c r="Y41" s="206">
        <v>55.44</v>
      </c>
      <c r="Z41" s="469">
        <v>42.74</v>
      </c>
      <c r="AA41" s="43">
        <v>66.85</v>
      </c>
      <c r="AB41" s="469"/>
      <c r="AC41" s="43">
        <v>29.44</v>
      </c>
      <c r="AD41" s="469"/>
      <c r="AE41" s="430">
        <f t="shared" si="0"/>
        <v>470.5499999999999</v>
      </c>
      <c r="AF41" s="473">
        <f t="shared" si="1"/>
        <v>292.95378800000003</v>
      </c>
    </row>
    <row r="42" spans="2:32" ht="12.75" hidden="1">
      <c r="B42" s="410">
        <f t="shared" si="2"/>
        <v>37</v>
      </c>
      <c r="C42" s="337" t="s">
        <v>178</v>
      </c>
      <c r="D42" s="479">
        <v>2648.8</v>
      </c>
      <c r="E42" s="439"/>
      <c r="F42" s="450"/>
      <c r="G42" s="419"/>
      <c r="H42" s="456"/>
      <c r="I42" s="207"/>
      <c r="J42" s="456"/>
      <c r="K42" s="207"/>
      <c r="L42" s="456"/>
      <c r="M42" s="207"/>
      <c r="N42" s="456"/>
      <c r="O42" s="78"/>
      <c r="P42" s="456"/>
      <c r="Q42" s="207"/>
      <c r="R42" s="456"/>
      <c r="S42" s="207"/>
      <c r="T42" s="456"/>
      <c r="U42" s="207"/>
      <c r="V42" s="461">
        <f>Сентябрь!N42</f>
        <v>-0.934120000000001</v>
      </c>
      <c r="W42" s="206"/>
      <c r="X42" s="461">
        <f>Октябрь!N42</f>
        <v>18.358</v>
      </c>
      <c r="Y42" s="206"/>
      <c r="Z42" s="469">
        <v>62.53</v>
      </c>
      <c r="AA42" s="43"/>
      <c r="AB42" s="469"/>
      <c r="AC42" s="43"/>
      <c r="AD42" s="469"/>
      <c r="AE42" s="430">
        <f t="shared" si="0"/>
        <v>0</v>
      </c>
      <c r="AF42" s="473">
        <f t="shared" si="1"/>
        <v>79.95388</v>
      </c>
    </row>
    <row r="43" spans="2:32" ht="12.75" hidden="1">
      <c r="B43" s="410">
        <f t="shared" si="2"/>
        <v>38</v>
      </c>
      <c r="C43" s="337" t="s">
        <v>179</v>
      </c>
      <c r="D43" s="442">
        <v>3529.2</v>
      </c>
      <c r="E43" s="440"/>
      <c r="F43" s="450"/>
      <c r="G43" s="419"/>
      <c r="H43" s="456"/>
      <c r="I43" s="207"/>
      <c r="J43" s="456"/>
      <c r="K43" s="207"/>
      <c r="L43" s="456"/>
      <c r="M43" s="207"/>
      <c r="N43" s="456"/>
      <c r="O43" s="78"/>
      <c r="P43" s="456"/>
      <c r="Q43" s="207"/>
      <c r="R43" s="456"/>
      <c r="S43" s="207"/>
      <c r="T43" s="456"/>
      <c r="U43" s="207"/>
      <c r="V43" s="461">
        <f>Сентябрь!N43</f>
        <v>11.309356</v>
      </c>
      <c r="W43" s="206"/>
      <c r="X43" s="461">
        <f>Октябрь!N43</f>
        <v>13.87</v>
      </c>
      <c r="Y43" s="206"/>
      <c r="Z43" s="469">
        <v>73.85</v>
      </c>
      <c r="AA43" s="43"/>
      <c r="AB43" s="469"/>
      <c r="AC43" s="43"/>
      <c r="AD43" s="469"/>
      <c r="AE43" s="430">
        <f t="shared" si="0"/>
        <v>0</v>
      </c>
      <c r="AF43" s="473">
        <f t="shared" si="1"/>
        <v>99.02935599999999</v>
      </c>
    </row>
    <row r="44" spans="2:32" ht="12.75">
      <c r="B44" s="410">
        <f t="shared" si="2"/>
        <v>39</v>
      </c>
      <c r="C44" s="120" t="s">
        <v>11</v>
      </c>
      <c r="D44" s="416">
        <v>7175.7</v>
      </c>
      <c r="E44" s="441">
        <v>156.39</v>
      </c>
      <c r="F44" s="450">
        <f>Январь!N43</f>
        <v>87.3475</v>
      </c>
      <c r="G44" s="419">
        <v>277.83</v>
      </c>
      <c r="H44" s="456">
        <f>Февраль!N42</f>
        <v>212.2192</v>
      </c>
      <c r="I44" s="207">
        <v>234.92</v>
      </c>
      <c r="J44" s="456">
        <f>Март!N42</f>
        <v>149.31109999999998</v>
      </c>
      <c r="K44" s="207">
        <v>118.33</v>
      </c>
      <c r="L44" s="456">
        <f>Апрель!N42</f>
        <v>107.4993</v>
      </c>
      <c r="M44" s="207">
        <v>41.33</v>
      </c>
      <c r="N44" s="456">
        <f>Май!N42</f>
        <v>13.18569999999999</v>
      </c>
      <c r="O44" s="78">
        <v>11.64</v>
      </c>
      <c r="P44" s="456">
        <f>Июнь!N42</f>
        <v>1.7629399999999953</v>
      </c>
      <c r="Q44" s="207">
        <v>12.27</v>
      </c>
      <c r="R44" s="456">
        <f>Июль!N42</f>
        <v>1.098080000000001</v>
      </c>
      <c r="S44" s="207">
        <v>15.14</v>
      </c>
      <c r="T44" s="456">
        <f>Август!N42</f>
        <v>5.991819999999998</v>
      </c>
      <c r="U44" s="207">
        <v>15.2</v>
      </c>
      <c r="V44" s="461">
        <f>Сентябрь!N42</f>
        <v>-0.934120000000001</v>
      </c>
      <c r="W44" s="206">
        <v>96.83</v>
      </c>
      <c r="X44" s="461">
        <f>Октябрь!N44</f>
        <v>72.134</v>
      </c>
      <c r="Y44" s="206">
        <v>132.85</v>
      </c>
      <c r="Z44" s="469">
        <v>137.68</v>
      </c>
      <c r="AA44" s="43">
        <v>159.59</v>
      </c>
      <c r="AB44" s="469"/>
      <c r="AC44" s="43">
        <v>91.76</v>
      </c>
      <c r="AD44" s="469"/>
      <c r="AE44" s="430">
        <f t="shared" si="0"/>
        <v>1364.08</v>
      </c>
      <c r="AF44" s="473">
        <f t="shared" si="1"/>
        <v>787.2955199999999</v>
      </c>
    </row>
    <row r="45" spans="2:32" s="20" customFormat="1" ht="12.75">
      <c r="B45" s="410">
        <f t="shared" si="2"/>
        <v>40</v>
      </c>
      <c r="C45" s="435" t="s">
        <v>58</v>
      </c>
      <c r="D45" s="436">
        <v>4256.7</v>
      </c>
      <c r="E45" s="442">
        <v>117.39</v>
      </c>
      <c r="F45" s="450">
        <f>Январь!N44</f>
        <v>112.3108</v>
      </c>
      <c r="G45" s="419">
        <v>186.07</v>
      </c>
      <c r="H45" s="456">
        <f>Февраль!N43</f>
        <v>135.27519999999998</v>
      </c>
      <c r="I45" s="207">
        <v>123.7</v>
      </c>
      <c r="J45" s="456">
        <f>Март!N43</f>
        <v>120.30660000000002</v>
      </c>
      <c r="K45" s="207">
        <v>109.26</v>
      </c>
      <c r="L45" s="456">
        <f>Апрель!N43</f>
        <v>65.59219999999999</v>
      </c>
      <c r="M45" s="207">
        <v>54.18</v>
      </c>
      <c r="N45" s="456">
        <f>Май!N43</f>
        <v>12.269399999999994</v>
      </c>
      <c r="O45" s="78">
        <v>9.34</v>
      </c>
      <c r="P45" s="456">
        <f>Июнь!N43</f>
        <v>4.827999999999999</v>
      </c>
      <c r="Q45" s="207">
        <v>6.66</v>
      </c>
      <c r="R45" s="456">
        <f>Июль!N43</f>
        <v>-9.324</v>
      </c>
      <c r="S45" s="207">
        <v>20.94</v>
      </c>
      <c r="T45" s="456">
        <f>Август!N43</f>
        <v>11.138699999999998</v>
      </c>
      <c r="U45" s="207">
        <v>6.64</v>
      </c>
      <c r="V45" s="461">
        <f>Сентябрь!N43</f>
        <v>11.309356</v>
      </c>
      <c r="W45" s="206">
        <v>94.67</v>
      </c>
      <c r="X45" s="461">
        <f>Октябрь!N45</f>
        <v>46.024</v>
      </c>
      <c r="Y45" s="206">
        <v>123.84</v>
      </c>
      <c r="Z45" s="469">
        <v>72.12</v>
      </c>
      <c r="AA45" s="43">
        <v>186.64</v>
      </c>
      <c r="AB45" s="469"/>
      <c r="AC45" s="43">
        <v>79.88</v>
      </c>
      <c r="AD45" s="469"/>
      <c r="AE45" s="430">
        <f t="shared" si="0"/>
        <v>1119.21</v>
      </c>
      <c r="AF45" s="473">
        <f t="shared" si="1"/>
        <v>581.850256</v>
      </c>
    </row>
    <row r="46" spans="2:32" ht="12.75">
      <c r="B46" s="410">
        <f t="shared" si="2"/>
        <v>41</v>
      </c>
      <c r="C46" s="120" t="s">
        <v>12</v>
      </c>
      <c r="D46" s="416">
        <v>5797</v>
      </c>
      <c r="E46" s="416">
        <v>129.6</v>
      </c>
      <c r="F46" s="450">
        <f>Январь!N45</f>
        <v>83.0086</v>
      </c>
      <c r="G46" s="419">
        <v>176.78</v>
      </c>
      <c r="H46" s="456">
        <f>Февраль!N44</f>
        <v>172.20960000000002</v>
      </c>
      <c r="I46" s="207">
        <v>166.93</v>
      </c>
      <c r="J46" s="456">
        <f>Март!N44</f>
        <v>108.33349999999999</v>
      </c>
      <c r="K46" s="207">
        <v>89.75</v>
      </c>
      <c r="L46" s="456">
        <f>Апрель!N44</f>
        <v>79.2785</v>
      </c>
      <c r="M46" s="207">
        <v>31.49</v>
      </c>
      <c r="N46" s="456">
        <f>Май!N44</f>
        <v>5.551699999999997</v>
      </c>
      <c r="O46" s="78">
        <v>11.1</v>
      </c>
      <c r="P46" s="456">
        <f>Июнь!N44</f>
        <v>-5.366500000000002</v>
      </c>
      <c r="Q46" s="207">
        <v>14.82</v>
      </c>
      <c r="R46" s="456">
        <f>Июль!N44</f>
        <v>-0.5701999999999998</v>
      </c>
      <c r="S46" s="207">
        <v>14.94</v>
      </c>
      <c r="T46" s="456">
        <f>Август!N44</f>
        <v>-1.7988999999999997</v>
      </c>
      <c r="U46" s="207">
        <v>12</v>
      </c>
      <c r="V46" s="461">
        <f>Сентябрь!N44</f>
        <v>3.2697480000000034</v>
      </c>
      <c r="W46" s="206">
        <v>67.4</v>
      </c>
      <c r="X46" s="461">
        <f>Октябрь!N46</f>
        <v>75.154</v>
      </c>
      <c r="Y46" s="206">
        <v>109.28</v>
      </c>
      <c r="Z46" s="469">
        <v>114.29</v>
      </c>
      <c r="AA46" s="43">
        <v>137.14</v>
      </c>
      <c r="AB46" s="469"/>
      <c r="AC46" s="43">
        <v>66.9</v>
      </c>
      <c r="AD46" s="469"/>
      <c r="AE46" s="430">
        <f t="shared" si="0"/>
        <v>1028.13</v>
      </c>
      <c r="AF46" s="473">
        <f t="shared" si="1"/>
        <v>633.360048</v>
      </c>
    </row>
    <row r="47" spans="2:32" ht="48" customHeight="1" hidden="1" thickBot="1">
      <c r="B47" s="1"/>
      <c r="C47" s="1"/>
      <c r="D47" s="31"/>
      <c r="E47" s="499" t="s">
        <v>119</v>
      </c>
      <c r="F47" s="500"/>
      <c r="G47" s="499" t="s">
        <v>27</v>
      </c>
      <c r="H47" s="500"/>
      <c r="I47" s="499" t="s">
        <v>28</v>
      </c>
      <c r="J47" s="500"/>
      <c r="K47" s="499" t="s">
        <v>29</v>
      </c>
      <c r="L47" s="500"/>
      <c r="M47" s="499" t="s">
        <v>30</v>
      </c>
      <c r="N47" s="500"/>
      <c r="O47" s="499" t="s">
        <v>31</v>
      </c>
      <c r="P47" s="500"/>
      <c r="Q47" s="499" t="s">
        <v>32</v>
      </c>
      <c r="R47" s="500"/>
      <c r="S47" s="499" t="s">
        <v>33</v>
      </c>
      <c r="T47" s="500"/>
      <c r="U47" s="499" t="s">
        <v>34</v>
      </c>
      <c r="V47" s="500"/>
      <c r="W47" s="499" t="s">
        <v>35</v>
      </c>
      <c r="X47" s="500"/>
      <c r="Y47" s="499" t="s">
        <v>36</v>
      </c>
      <c r="Z47" s="500"/>
      <c r="AA47" s="499" t="s">
        <v>37</v>
      </c>
      <c r="AB47" s="500"/>
      <c r="AC47" s="499" t="s">
        <v>182</v>
      </c>
      <c r="AD47" s="500"/>
      <c r="AE47" s="499" t="s">
        <v>181</v>
      </c>
      <c r="AF47" s="500"/>
    </row>
    <row r="48" spans="2:32" ht="39" hidden="1" thickBot="1">
      <c r="B48" s="414" t="s">
        <v>39</v>
      </c>
      <c r="C48" s="415" t="s">
        <v>41</v>
      </c>
      <c r="D48" s="480" t="s">
        <v>43</v>
      </c>
      <c r="E48" s="417">
        <v>2011</v>
      </c>
      <c r="F48" s="446">
        <v>2012</v>
      </c>
      <c r="G48" s="417">
        <v>2011</v>
      </c>
      <c r="H48" s="446">
        <v>2012</v>
      </c>
      <c r="I48" s="417">
        <v>2011</v>
      </c>
      <c r="J48" s="446">
        <v>2012</v>
      </c>
      <c r="K48" s="417">
        <v>2011</v>
      </c>
      <c r="L48" s="446">
        <v>2012</v>
      </c>
      <c r="M48" s="417">
        <v>2011</v>
      </c>
      <c r="N48" s="446">
        <v>2012</v>
      </c>
      <c r="O48" s="417">
        <v>2011</v>
      </c>
      <c r="P48" s="446">
        <v>2012</v>
      </c>
      <c r="Q48" s="417">
        <v>2011</v>
      </c>
      <c r="R48" s="446">
        <v>2012</v>
      </c>
      <c r="S48" s="417">
        <v>2011</v>
      </c>
      <c r="T48" s="446">
        <v>2012</v>
      </c>
      <c r="U48" s="417">
        <v>2011</v>
      </c>
      <c r="V48" s="446">
        <v>2012</v>
      </c>
      <c r="W48" s="417">
        <v>2011</v>
      </c>
      <c r="X48" s="446">
        <v>2012</v>
      </c>
      <c r="Y48" s="417">
        <v>2011</v>
      </c>
      <c r="Z48" s="446">
        <v>2012</v>
      </c>
      <c r="AA48" s="417">
        <v>2011</v>
      </c>
      <c r="AB48" s="446">
        <v>2012</v>
      </c>
      <c r="AC48" s="417">
        <v>2011</v>
      </c>
      <c r="AD48" s="446">
        <v>2012</v>
      </c>
      <c r="AE48" s="428">
        <v>2011</v>
      </c>
      <c r="AF48" s="471">
        <v>2012</v>
      </c>
    </row>
    <row r="49" spans="2:32" ht="12.75">
      <c r="B49" s="410">
        <f>B46+1</f>
        <v>42</v>
      </c>
      <c r="C49" s="120" t="s">
        <v>134</v>
      </c>
      <c r="D49" s="416">
        <v>5325.4</v>
      </c>
      <c r="E49" s="436"/>
      <c r="F49" s="450">
        <f>Январь!N46</f>
        <v>78.83051999999999</v>
      </c>
      <c r="G49" s="419"/>
      <c r="H49" s="456">
        <f>Февраль!N45</f>
        <v>23.19476</v>
      </c>
      <c r="I49" s="207"/>
      <c r="J49" s="456">
        <f>Март!N45</f>
        <v>109.94727999999999</v>
      </c>
      <c r="K49" s="207"/>
      <c r="L49" s="456">
        <f>Апрель!N45</f>
        <v>117.94476</v>
      </c>
      <c r="M49" s="207"/>
      <c r="N49" s="456">
        <f>Май!N45</f>
        <v>53.62932</v>
      </c>
      <c r="O49" s="78"/>
      <c r="P49" s="456">
        <f>Июнь!N45</f>
        <v>21.424639999999997</v>
      </c>
      <c r="Q49" s="207"/>
      <c r="R49" s="456">
        <f>Июль!N45</f>
        <v>2.20808</v>
      </c>
      <c r="S49" s="207"/>
      <c r="T49" s="456">
        <f>Август!N45</f>
        <v>6.032679999999999</v>
      </c>
      <c r="U49" s="207"/>
      <c r="V49" s="461">
        <f>Сентябрь!N45</f>
        <v>0.30142000000000024</v>
      </c>
      <c r="W49" s="206"/>
      <c r="X49" s="461">
        <f>Октябрь!N47</f>
        <v>52.216</v>
      </c>
      <c r="Y49" s="206">
        <v>87.79</v>
      </c>
      <c r="Z49" s="469">
        <v>80.58</v>
      </c>
      <c r="AA49" s="43">
        <v>129.85</v>
      </c>
      <c r="AB49" s="469"/>
      <c r="AC49" s="43">
        <v>53.11</v>
      </c>
      <c r="AD49" s="469"/>
      <c r="AE49" s="430">
        <f aca="true" t="shared" si="3" ref="AE49:AE71">E49+G49+I49+K49+M49+O49+Q49+S49+U49+W49+Y49+AA49+AC49</f>
        <v>270.75</v>
      </c>
      <c r="AF49" s="473">
        <f aca="true" t="shared" si="4" ref="AF49:AF71">F49+H49+J49+L49+N49+P49+R49+T49+V49+X49+Z49+AB49+AD49</f>
        <v>546.3094600000001</v>
      </c>
    </row>
    <row r="50" spans="2:32" ht="12.75">
      <c r="B50" s="410">
        <f t="shared" si="2"/>
        <v>43</v>
      </c>
      <c r="C50" s="120" t="s">
        <v>13</v>
      </c>
      <c r="D50" s="416">
        <v>11675.3</v>
      </c>
      <c r="E50" s="416">
        <v>143.33</v>
      </c>
      <c r="F50" s="450">
        <f>Январь!N47</f>
        <v>142.01029999999997</v>
      </c>
      <c r="G50" s="419">
        <v>249.82</v>
      </c>
      <c r="H50" s="456">
        <f>Февраль!N46</f>
        <v>383.4448</v>
      </c>
      <c r="I50" s="207">
        <v>211.53</v>
      </c>
      <c r="J50" s="456">
        <f>Март!N46</f>
        <v>239.86759999999998</v>
      </c>
      <c r="K50" s="207">
        <v>143.67</v>
      </c>
      <c r="L50" s="456">
        <f>Апрель!N46</f>
        <v>148.80849999999998</v>
      </c>
      <c r="M50" s="207">
        <v>59.52</v>
      </c>
      <c r="N50" s="456">
        <f>Май!N46</f>
        <v>31.92009999999999</v>
      </c>
      <c r="O50" s="78">
        <v>-1.55</v>
      </c>
      <c r="P50" s="456">
        <f>Июнь!N46</f>
        <v>-0.10130000000000905</v>
      </c>
      <c r="Q50" s="207">
        <v>16.46</v>
      </c>
      <c r="R50" s="456">
        <f>Июль!N46</f>
        <v>7.231299999999997</v>
      </c>
      <c r="S50" s="207">
        <v>27.22</v>
      </c>
      <c r="T50" s="456">
        <f>Август!N46</f>
        <v>15.990699999999997</v>
      </c>
      <c r="U50" s="207">
        <v>29.4</v>
      </c>
      <c r="V50" s="461">
        <f>Сентябрь!N46</f>
        <v>25.610532</v>
      </c>
      <c r="W50" s="206">
        <v>61.73</v>
      </c>
      <c r="X50" s="461">
        <f>Октябрь!N48</f>
        <v>93.28</v>
      </c>
      <c r="Y50" s="206">
        <v>265.47</v>
      </c>
      <c r="Z50" s="469">
        <v>153.33</v>
      </c>
      <c r="AA50" s="43">
        <v>284.8</v>
      </c>
      <c r="AB50" s="469"/>
      <c r="AC50" s="43">
        <v>126.14</v>
      </c>
      <c r="AD50" s="469"/>
      <c r="AE50" s="430">
        <f t="shared" si="3"/>
        <v>1617.54</v>
      </c>
      <c r="AF50" s="473">
        <f t="shared" si="4"/>
        <v>1241.3925319999998</v>
      </c>
    </row>
    <row r="51" spans="2:32" ht="12.75">
      <c r="B51" s="410">
        <f t="shared" si="2"/>
        <v>44</v>
      </c>
      <c r="C51" s="120" t="s">
        <v>14</v>
      </c>
      <c r="D51" s="416">
        <v>3803.7</v>
      </c>
      <c r="E51" s="416">
        <v>56.29</v>
      </c>
      <c r="F51" s="450">
        <f>Январь!N48</f>
        <v>52.2276</v>
      </c>
      <c r="G51" s="419">
        <v>96.87</v>
      </c>
      <c r="H51" s="456">
        <f>Февраль!N47</f>
        <v>118.2229</v>
      </c>
      <c r="I51" s="207">
        <v>83.75</v>
      </c>
      <c r="J51" s="456">
        <f>Март!N47</f>
        <v>79.60279999999999</v>
      </c>
      <c r="K51" s="207">
        <v>58.04</v>
      </c>
      <c r="L51" s="456">
        <f>Апрель!N47</f>
        <v>57.9293</v>
      </c>
      <c r="M51" s="207">
        <v>34.72</v>
      </c>
      <c r="N51" s="456">
        <f>Май!N47</f>
        <v>8.861299999999996</v>
      </c>
      <c r="O51" s="78">
        <v>4.34</v>
      </c>
      <c r="P51" s="456">
        <f>Июнь!N47</f>
        <v>11.458719999999994</v>
      </c>
      <c r="Q51" s="207">
        <v>7.47</v>
      </c>
      <c r="R51" s="456">
        <f>Июль!N47</f>
        <v>2.15282</v>
      </c>
      <c r="S51" s="207">
        <v>9.15</v>
      </c>
      <c r="T51" s="456">
        <f>Август!N47</f>
        <v>8.447819999999998</v>
      </c>
      <c r="U51" s="207">
        <v>6.78</v>
      </c>
      <c r="V51" s="461">
        <f>Сентябрь!N47</f>
        <v>10.242755999999995</v>
      </c>
      <c r="W51" s="206">
        <v>61.63</v>
      </c>
      <c r="X51" s="461">
        <f>Октябрь!N49</f>
        <v>52.709999999999994</v>
      </c>
      <c r="Y51" s="206">
        <v>96.96</v>
      </c>
      <c r="Z51" s="469">
        <v>74.18</v>
      </c>
      <c r="AA51" s="43">
        <v>101.63</v>
      </c>
      <c r="AB51" s="469"/>
      <c r="AC51" s="43">
        <v>44.53</v>
      </c>
      <c r="AD51" s="469"/>
      <c r="AE51" s="430">
        <f t="shared" si="3"/>
        <v>662.1599999999999</v>
      </c>
      <c r="AF51" s="473">
        <f t="shared" si="4"/>
        <v>476.0360159999999</v>
      </c>
    </row>
    <row r="52" spans="2:32" ht="12.75">
      <c r="B52" s="410">
        <f t="shared" si="2"/>
        <v>45</v>
      </c>
      <c r="C52" s="120" t="s">
        <v>15</v>
      </c>
      <c r="D52" s="416">
        <v>13733.1</v>
      </c>
      <c r="E52" s="416">
        <v>198.87</v>
      </c>
      <c r="F52" s="450">
        <f>Январь!N49</f>
        <v>227.024</v>
      </c>
      <c r="G52" s="419">
        <v>321.7</v>
      </c>
      <c r="H52" s="456">
        <f>Февраль!N48</f>
        <v>279.4542</v>
      </c>
      <c r="I52" s="207">
        <v>282.04</v>
      </c>
      <c r="J52" s="456">
        <f>Март!N48</f>
        <v>296.2799</v>
      </c>
      <c r="K52" s="207">
        <v>204.91</v>
      </c>
      <c r="L52" s="456">
        <f>Апрель!N48</f>
        <v>188.8271</v>
      </c>
      <c r="M52" s="207">
        <v>71.32</v>
      </c>
      <c r="N52" s="456">
        <f>Май!N48</f>
        <v>16.80189999999999</v>
      </c>
      <c r="O52" s="78">
        <v>13.4</v>
      </c>
      <c r="P52" s="456">
        <f>Июнь!N48</f>
        <v>-4.94550000000001</v>
      </c>
      <c r="Q52" s="207">
        <v>11.67</v>
      </c>
      <c r="R52" s="456">
        <f>Июль!N48</f>
        <v>-0.5842000000000027</v>
      </c>
      <c r="S52" s="207">
        <v>13.89</v>
      </c>
      <c r="T52" s="456">
        <f>Август!N48</f>
        <v>-3.848399999999998</v>
      </c>
      <c r="U52" s="207">
        <v>10.58</v>
      </c>
      <c r="V52" s="461">
        <f>Сентябрь!N48</f>
        <v>9.774875999999999</v>
      </c>
      <c r="W52" s="206">
        <v>160.28</v>
      </c>
      <c r="X52" s="461">
        <f>Октябрь!N50</f>
        <v>112.992</v>
      </c>
      <c r="Y52" s="206">
        <v>255.51</v>
      </c>
      <c r="Z52" s="469">
        <v>183.9</v>
      </c>
      <c r="AA52" s="43">
        <v>377.26</v>
      </c>
      <c r="AB52" s="469"/>
      <c r="AC52" s="43">
        <v>154.85</v>
      </c>
      <c r="AD52" s="469"/>
      <c r="AE52" s="430">
        <f t="shared" si="3"/>
        <v>2076.28</v>
      </c>
      <c r="AF52" s="473">
        <f t="shared" si="4"/>
        <v>1305.675876</v>
      </c>
    </row>
    <row r="53" spans="2:32" ht="12.75">
      <c r="B53" s="410">
        <f t="shared" si="2"/>
        <v>46</v>
      </c>
      <c r="C53" s="120" t="s">
        <v>183</v>
      </c>
      <c r="D53" s="416">
        <v>8981.6</v>
      </c>
      <c r="E53" s="416">
        <v>139.33</v>
      </c>
      <c r="F53" s="450">
        <f>Январь!N50</f>
        <v>115.50200000000001</v>
      </c>
      <c r="G53" s="419">
        <v>178.26</v>
      </c>
      <c r="H53" s="456">
        <f>Февраль!N49</f>
        <v>263.0169</v>
      </c>
      <c r="I53" s="207">
        <v>257.47</v>
      </c>
      <c r="J53" s="456">
        <f>Март!N49</f>
        <v>447.3652</v>
      </c>
      <c r="K53" s="207">
        <v>140.62</v>
      </c>
      <c r="L53" s="456">
        <f>Апрель!N49</f>
        <v>219.72819999999996</v>
      </c>
      <c r="M53" s="207">
        <v>38.46</v>
      </c>
      <c r="N53" s="456">
        <f>Май!N49</f>
        <v>16.418599999999998</v>
      </c>
      <c r="O53" s="78">
        <v>7.73</v>
      </c>
      <c r="P53" s="456">
        <f>Июнь!N49</f>
        <v>-4.882699999999986</v>
      </c>
      <c r="Q53" s="207">
        <v>3.53</v>
      </c>
      <c r="R53" s="456">
        <f>Июль!N49</f>
        <v>4.984699999999997</v>
      </c>
      <c r="S53" s="207">
        <v>7.88</v>
      </c>
      <c r="T53" s="456">
        <f>Август!N49</f>
        <v>4.649000000000001</v>
      </c>
      <c r="U53" s="207">
        <v>5.21</v>
      </c>
      <c r="V53" s="461">
        <f>Сентябрь!N49</f>
        <v>11.931083999999991</v>
      </c>
      <c r="W53" s="206">
        <v>87.69</v>
      </c>
      <c r="X53" s="461">
        <f>Октябрь!N51</f>
        <v>104.762</v>
      </c>
      <c r="Y53" s="206">
        <v>180.83</v>
      </c>
      <c r="Z53" s="469">
        <v>169.3</v>
      </c>
      <c r="AA53" s="43">
        <v>202.42</v>
      </c>
      <c r="AB53" s="469"/>
      <c r="AC53" s="43">
        <v>93.71</v>
      </c>
      <c r="AD53" s="469"/>
      <c r="AE53" s="430">
        <f t="shared" si="3"/>
        <v>1343.14</v>
      </c>
      <c r="AF53" s="473">
        <f t="shared" si="4"/>
        <v>1352.774984</v>
      </c>
    </row>
    <row r="54" spans="2:32" ht="12.75">
      <c r="B54" s="410">
        <f t="shared" si="2"/>
        <v>47</v>
      </c>
      <c r="C54" s="120" t="s">
        <v>184</v>
      </c>
      <c r="D54" s="416">
        <v>4789.4</v>
      </c>
      <c r="E54" s="416">
        <v>80.19</v>
      </c>
      <c r="F54" s="450">
        <f>Январь!N51</f>
        <v>58.6084</v>
      </c>
      <c r="G54" s="419">
        <v>134.14</v>
      </c>
      <c r="H54" s="456">
        <f>Февраль!N50</f>
        <v>145.4447</v>
      </c>
      <c r="I54" s="207">
        <v>128.7</v>
      </c>
      <c r="J54" s="456">
        <f>Март!N50</f>
        <v>100.8064</v>
      </c>
      <c r="K54" s="207">
        <v>76.87</v>
      </c>
      <c r="L54" s="456">
        <f>Апрель!N50</f>
        <v>64.6233</v>
      </c>
      <c r="M54" s="207">
        <v>21.59</v>
      </c>
      <c r="N54" s="456">
        <f>Май!N50</f>
        <v>3.9632999999999967</v>
      </c>
      <c r="O54" s="78">
        <v>0</v>
      </c>
      <c r="P54" s="456">
        <f>Июнь!N50</f>
        <v>9.447799999999994</v>
      </c>
      <c r="Q54" s="207">
        <v>0</v>
      </c>
      <c r="R54" s="456">
        <f>Июль!N50</f>
        <v>2.720700000000001</v>
      </c>
      <c r="S54" s="207">
        <v>0</v>
      </c>
      <c r="T54" s="456">
        <f>Август!N50</f>
        <v>1.9101</v>
      </c>
      <c r="U54" s="207">
        <v>0</v>
      </c>
      <c r="V54" s="461">
        <f>Сентябрь!N50</f>
        <v>6.178703999999996</v>
      </c>
      <c r="W54" s="206">
        <v>35.68</v>
      </c>
      <c r="X54" s="461">
        <f>Октябрь!N52</f>
        <v>55.842000000000006</v>
      </c>
      <c r="Y54" s="206">
        <v>82.03</v>
      </c>
      <c r="Z54" s="469">
        <v>88.36</v>
      </c>
      <c r="AA54" s="43">
        <v>102.76</v>
      </c>
      <c r="AB54" s="469"/>
      <c r="AC54" s="43">
        <v>50.02</v>
      </c>
      <c r="AD54" s="469"/>
      <c r="AE54" s="430">
        <f t="shared" si="3"/>
        <v>711.9799999999999</v>
      </c>
      <c r="AF54" s="473">
        <f t="shared" si="4"/>
        <v>537.905404</v>
      </c>
    </row>
    <row r="55" spans="2:32" ht="12.75">
      <c r="B55" s="410">
        <f t="shared" si="2"/>
        <v>48</v>
      </c>
      <c r="C55" s="120" t="s">
        <v>185</v>
      </c>
      <c r="D55" s="416">
        <v>5273.8</v>
      </c>
      <c r="E55" s="416">
        <v>81.98</v>
      </c>
      <c r="F55" s="450">
        <f>Январь!N52</f>
        <v>53.29540000000001</v>
      </c>
      <c r="G55" s="419">
        <v>137.11</v>
      </c>
      <c r="H55" s="456">
        <f>Февраль!N51</f>
        <v>128.995</v>
      </c>
      <c r="I55" s="207">
        <v>116.36</v>
      </c>
      <c r="J55" s="456">
        <f>Март!N51</f>
        <v>108.6465</v>
      </c>
      <c r="K55" s="207">
        <v>80.39</v>
      </c>
      <c r="L55" s="456">
        <f>Апрель!N51</f>
        <v>62.2617</v>
      </c>
      <c r="M55" s="207">
        <v>23.62</v>
      </c>
      <c r="N55" s="456">
        <f>Май!N51</f>
        <v>-1.0561000000000007</v>
      </c>
      <c r="O55" s="78">
        <v>6.55</v>
      </c>
      <c r="P55" s="456">
        <f>Июнь!N51</f>
        <v>-7.4709999999999965</v>
      </c>
      <c r="Q55" s="207">
        <v>3.65</v>
      </c>
      <c r="R55" s="456">
        <f>Июль!N51</f>
        <v>-1.9872000000000014</v>
      </c>
      <c r="S55" s="207">
        <v>13.22</v>
      </c>
      <c r="T55" s="456">
        <f>Август!N51</f>
        <v>-12.3951</v>
      </c>
      <c r="U55" s="207">
        <v>0</v>
      </c>
      <c r="V55" s="461">
        <f>Сентябрь!N51</f>
        <v>3.8257879999999993</v>
      </c>
      <c r="W55" s="206">
        <v>31.64</v>
      </c>
      <c r="X55" s="461">
        <f>Октябрь!N53</f>
        <v>59.007999999999996</v>
      </c>
      <c r="Y55" s="206">
        <v>72.75</v>
      </c>
      <c r="Z55" s="469">
        <v>90.33</v>
      </c>
      <c r="AA55" s="43">
        <v>91.13</v>
      </c>
      <c r="AB55" s="469"/>
      <c r="AC55" s="43">
        <v>41.97</v>
      </c>
      <c r="AD55" s="469"/>
      <c r="AE55" s="430">
        <f t="shared" si="3"/>
        <v>700.37</v>
      </c>
      <c r="AF55" s="473">
        <f t="shared" si="4"/>
        <v>483.45298799999995</v>
      </c>
    </row>
    <row r="56" spans="2:32" ht="12.75">
      <c r="B56" s="410">
        <f t="shared" si="2"/>
        <v>49</v>
      </c>
      <c r="C56" s="120" t="s">
        <v>19</v>
      </c>
      <c r="D56" s="416">
        <v>11125.8</v>
      </c>
      <c r="E56" s="416">
        <v>163.55</v>
      </c>
      <c r="F56" s="450">
        <f>Январь!N53</f>
        <v>143.4065</v>
      </c>
      <c r="G56" s="419">
        <v>261.21</v>
      </c>
      <c r="H56" s="456">
        <f>Февраль!N52</f>
        <v>162.67629999999997</v>
      </c>
      <c r="I56" s="207">
        <v>235.08</v>
      </c>
      <c r="J56" s="456">
        <f>Март!N52</f>
        <v>283.17359999999996</v>
      </c>
      <c r="K56" s="207">
        <v>154.81</v>
      </c>
      <c r="L56" s="456">
        <f>Апрель!N52</f>
        <v>107.9454</v>
      </c>
      <c r="M56" s="207">
        <v>51.21</v>
      </c>
      <c r="N56" s="456">
        <f>Май!N52</f>
        <v>-4.026300000000006</v>
      </c>
      <c r="O56" s="78">
        <v>5.08</v>
      </c>
      <c r="P56" s="456">
        <f>Июнь!N52</f>
        <v>-17.90258000000001</v>
      </c>
      <c r="Q56" s="207">
        <v>7.59</v>
      </c>
      <c r="R56" s="456">
        <f>Июль!N52</f>
        <v>-8.907740000000006</v>
      </c>
      <c r="S56" s="207">
        <v>4.49</v>
      </c>
      <c r="T56" s="456">
        <f>Август!N52</f>
        <v>-9.001159999999999</v>
      </c>
      <c r="U56" s="207">
        <v>-2.93</v>
      </c>
      <c r="V56" s="461">
        <f>Сентябрь!N52</f>
        <v>-3.324832</v>
      </c>
      <c r="W56" s="206">
        <v>91.91</v>
      </c>
      <c r="X56" s="461">
        <f>Октябрь!N54</f>
        <v>103.112</v>
      </c>
      <c r="Y56" s="206">
        <v>197.2</v>
      </c>
      <c r="Z56" s="469">
        <v>80.87</v>
      </c>
      <c r="AA56" s="43">
        <v>245.52</v>
      </c>
      <c r="AB56" s="469"/>
      <c r="AC56" s="43">
        <v>122.21</v>
      </c>
      <c r="AD56" s="469"/>
      <c r="AE56" s="430">
        <f t="shared" si="3"/>
        <v>1536.9300000000003</v>
      </c>
      <c r="AF56" s="473">
        <f t="shared" si="4"/>
        <v>838.0211879999999</v>
      </c>
    </row>
    <row r="57" spans="2:32" ht="12.75">
      <c r="B57" s="410">
        <f t="shared" si="2"/>
        <v>50</v>
      </c>
      <c r="C57" s="120" t="s">
        <v>70</v>
      </c>
      <c r="D57" s="416">
        <v>6713.5</v>
      </c>
      <c r="E57" s="416">
        <v>159.72</v>
      </c>
      <c r="F57" s="450">
        <f>Январь!N54</f>
        <v>91.68716</v>
      </c>
      <c r="G57" s="419">
        <v>187.31</v>
      </c>
      <c r="H57" s="456">
        <f>Февраль!N53</f>
        <v>208.5648</v>
      </c>
      <c r="I57" s="207">
        <v>146.47</v>
      </c>
      <c r="J57" s="456">
        <f>Март!N53</f>
        <v>135.49928</v>
      </c>
      <c r="K57" s="207">
        <v>104.01</v>
      </c>
      <c r="L57" s="456">
        <f>Апрель!N53</f>
        <v>82.05655999999999</v>
      </c>
      <c r="M57" s="207">
        <v>51.24</v>
      </c>
      <c r="N57" s="456">
        <f>Май!N53</f>
        <v>-26.513119999999994</v>
      </c>
      <c r="O57" s="78">
        <v>15.68</v>
      </c>
      <c r="P57" s="456">
        <f>Июнь!N53</f>
        <v>21.19496</v>
      </c>
      <c r="Q57" s="207">
        <v>1.81</v>
      </c>
      <c r="R57" s="456">
        <f>Июль!N53</f>
        <v>5.578159999999999</v>
      </c>
      <c r="S57" s="207">
        <v>9.69</v>
      </c>
      <c r="T57" s="456">
        <f>Август!N53</f>
        <v>11.608880000000003</v>
      </c>
      <c r="U57" s="207">
        <v>0.21</v>
      </c>
      <c r="V57" s="461">
        <f>Сентябрь!N53</f>
        <v>-3.642984000000009</v>
      </c>
      <c r="W57" s="206">
        <v>64.78</v>
      </c>
      <c r="X57" s="461">
        <f>Октябрь!N55</f>
        <v>41.12400000000001</v>
      </c>
      <c r="Y57" s="206">
        <v>120.47</v>
      </c>
      <c r="Z57" s="469">
        <v>88.35</v>
      </c>
      <c r="AA57" s="43">
        <v>146.44</v>
      </c>
      <c r="AB57" s="469"/>
      <c r="AC57" s="43">
        <v>71.35</v>
      </c>
      <c r="AD57" s="469"/>
      <c r="AE57" s="430">
        <f t="shared" si="3"/>
        <v>1079.1799999999998</v>
      </c>
      <c r="AF57" s="473">
        <f t="shared" si="4"/>
        <v>655.5076960000001</v>
      </c>
    </row>
    <row r="58" spans="2:32" ht="12.75" hidden="1">
      <c r="B58" s="410">
        <f t="shared" si="2"/>
        <v>51</v>
      </c>
      <c r="C58" s="120" t="s">
        <v>135</v>
      </c>
      <c r="D58" s="416">
        <v>6718.7</v>
      </c>
      <c r="E58" s="416"/>
      <c r="F58" s="450">
        <f>Январь!N55</f>
        <v>105.40804</v>
      </c>
      <c r="G58" s="419"/>
      <c r="H58" s="456">
        <f>Февраль!N54</f>
        <v>231.8306</v>
      </c>
      <c r="I58" s="207"/>
      <c r="J58" s="456">
        <f>Март!N54</f>
        <v>161.72084</v>
      </c>
      <c r="K58" s="207"/>
      <c r="L58" s="456">
        <f>Апрель!N54</f>
        <v>103.81588</v>
      </c>
      <c r="M58" s="207"/>
      <c r="N58" s="456">
        <f>Май!N54</f>
        <v>20.190760000000004</v>
      </c>
      <c r="O58" s="78"/>
      <c r="P58" s="456">
        <f>Июнь!N54</f>
        <v>6.013600000000004</v>
      </c>
      <c r="Q58" s="207"/>
      <c r="R58" s="456">
        <f>Июль!N54</f>
        <v>7.50188</v>
      </c>
      <c r="S58" s="207"/>
      <c r="T58" s="456">
        <f>Август!N54</f>
        <v>4.816039999999997</v>
      </c>
      <c r="U58" s="207"/>
      <c r="V58" s="461">
        <f>Сентябрь!N54</f>
        <v>3.438043999999998</v>
      </c>
      <c r="W58" s="206"/>
      <c r="X58" s="461">
        <f>Октябрь!N56</f>
        <v>58.486000000000004</v>
      </c>
      <c r="Y58" s="206">
        <v>229.56</v>
      </c>
      <c r="Z58" s="469">
        <v>108.78</v>
      </c>
      <c r="AA58" s="43">
        <v>176.53</v>
      </c>
      <c r="AB58" s="469"/>
      <c r="AC58" s="43">
        <v>83.41</v>
      </c>
      <c r="AD58" s="469"/>
      <c r="AE58" s="430">
        <f t="shared" si="3"/>
        <v>489.5</v>
      </c>
      <c r="AF58" s="473">
        <f t="shared" si="4"/>
        <v>812.0016840000001</v>
      </c>
    </row>
    <row r="59" spans="2:32" ht="12.75" hidden="1">
      <c r="B59" s="410">
        <f t="shared" si="2"/>
        <v>52</v>
      </c>
      <c r="C59" s="120" t="s">
        <v>136</v>
      </c>
      <c r="D59" s="416">
        <v>6706.5</v>
      </c>
      <c r="E59" s="416"/>
      <c r="F59" s="450">
        <f>Январь!N56</f>
        <v>121.19467999999999</v>
      </c>
      <c r="G59" s="419"/>
      <c r="H59" s="456">
        <f>Февраль!N55</f>
        <v>200.99176</v>
      </c>
      <c r="I59" s="207"/>
      <c r="J59" s="456">
        <f>Март!N55</f>
        <v>131.2102</v>
      </c>
      <c r="K59" s="207"/>
      <c r="L59" s="456">
        <f>Апрель!N55</f>
        <v>94.80120000000001</v>
      </c>
      <c r="M59" s="207"/>
      <c r="N59" s="456">
        <f>Май!N55</f>
        <v>16.446800000000003</v>
      </c>
      <c r="O59" s="78"/>
      <c r="P59" s="456">
        <f>Июнь!N55</f>
        <v>7.555160000000001</v>
      </c>
      <c r="Q59" s="207"/>
      <c r="R59" s="456">
        <f>Июль!N55</f>
        <v>3.80204</v>
      </c>
      <c r="S59" s="207"/>
      <c r="T59" s="456">
        <f>Август!N55</f>
        <v>4.031959999999998</v>
      </c>
      <c r="U59" s="207"/>
      <c r="V59" s="461">
        <f>Сентябрь!N55</f>
        <v>1.9265319999999981</v>
      </c>
      <c r="W59" s="206"/>
      <c r="X59" s="461">
        <f>Октябрь!N57</f>
        <v>53.078</v>
      </c>
      <c r="Y59" s="206"/>
      <c r="Z59" s="469">
        <v>93.35</v>
      </c>
      <c r="AA59" s="43"/>
      <c r="AB59" s="469"/>
      <c r="AC59" s="43"/>
      <c r="AD59" s="469"/>
      <c r="AE59" s="430">
        <f t="shared" si="3"/>
        <v>0</v>
      </c>
      <c r="AF59" s="473">
        <f t="shared" si="4"/>
        <v>728.3883320000001</v>
      </c>
    </row>
    <row r="60" spans="2:32" ht="12.75" hidden="1">
      <c r="B60" s="410">
        <f t="shared" si="2"/>
        <v>53</v>
      </c>
      <c r="C60" s="120" t="s">
        <v>169</v>
      </c>
      <c r="D60" s="443">
        <v>6708.8</v>
      </c>
      <c r="E60" s="443"/>
      <c r="F60" s="450"/>
      <c r="G60" s="419"/>
      <c r="H60" s="456"/>
      <c r="I60" s="207"/>
      <c r="J60" s="456"/>
      <c r="K60" s="207"/>
      <c r="L60" s="456"/>
      <c r="M60" s="207"/>
      <c r="N60" s="456"/>
      <c r="O60" s="78"/>
      <c r="P60" s="456"/>
      <c r="Q60" s="207"/>
      <c r="R60" s="456"/>
      <c r="S60" s="207"/>
      <c r="T60" s="456">
        <f>Август!N56</f>
        <v>7.979079999999999</v>
      </c>
      <c r="U60" s="207"/>
      <c r="V60" s="461">
        <f>Сентябрь!N56</f>
        <v>1.1119039999999956</v>
      </c>
      <c r="W60" s="206"/>
      <c r="X60" s="461">
        <f>Октябрь!N58</f>
        <v>58.046</v>
      </c>
      <c r="Y60" s="206"/>
      <c r="Z60" s="469">
        <v>110.9</v>
      </c>
      <c r="AA60" s="43"/>
      <c r="AB60" s="469"/>
      <c r="AC60" s="43"/>
      <c r="AD60" s="469"/>
      <c r="AE60" s="430">
        <f t="shared" si="3"/>
        <v>0</v>
      </c>
      <c r="AF60" s="473">
        <f t="shared" si="4"/>
        <v>178.03698400000002</v>
      </c>
    </row>
    <row r="61" spans="2:32" ht="12.75">
      <c r="B61" s="410">
        <f t="shared" si="2"/>
        <v>54</v>
      </c>
      <c r="C61" s="120" t="s">
        <v>20</v>
      </c>
      <c r="D61" s="416">
        <v>11638.3</v>
      </c>
      <c r="E61" s="416">
        <v>175.38</v>
      </c>
      <c r="F61" s="450">
        <f>Январь!N57</f>
        <v>150.8924</v>
      </c>
      <c r="G61" s="419">
        <v>297.95</v>
      </c>
      <c r="H61" s="456">
        <f>Февраль!N56</f>
        <v>344.722</v>
      </c>
      <c r="I61" s="207">
        <v>249.21</v>
      </c>
      <c r="J61" s="456">
        <f>Март!N56</f>
        <v>227.2894</v>
      </c>
      <c r="K61" s="207">
        <v>154.61</v>
      </c>
      <c r="L61" s="456">
        <f>Апрель!N56</f>
        <v>145.5706</v>
      </c>
      <c r="M61" s="207">
        <v>51.73</v>
      </c>
      <c r="N61" s="456">
        <f>Май!N56</f>
        <v>13.913699999999999</v>
      </c>
      <c r="O61" s="78">
        <v>13.47</v>
      </c>
      <c r="P61" s="456">
        <f>Июнь!N56</f>
        <v>-11.195100000000004</v>
      </c>
      <c r="Q61" s="207">
        <v>6.02</v>
      </c>
      <c r="R61" s="456">
        <f>Июль!N56</f>
        <v>-2.375</v>
      </c>
      <c r="S61" s="207">
        <v>9.09</v>
      </c>
      <c r="T61" s="456">
        <f>Август!N57</f>
        <v>-3.950800000000008</v>
      </c>
      <c r="U61" s="207">
        <v>4.76</v>
      </c>
      <c r="V61" s="461">
        <f>Сентябрь!N57</f>
        <v>3.739295999999996</v>
      </c>
      <c r="W61" s="206">
        <v>136.3</v>
      </c>
      <c r="X61" s="461">
        <f>Октябрь!N59</f>
        <v>108.644</v>
      </c>
      <c r="Y61" s="206">
        <v>213.74</v>
      </c>
      <c r="Z61" s="469">
        <v>201.94</v>
      </c>
      <c r="AA61" s="43">
        <v>257.83</v>
      </c>
      <c r="AB61" s="469"/>
      <c r="AC61" s="43">
        <v>118.64</v>
      </c>
      <c r="AD61" s="469"/>
      <c r="AE61" s="430">
        <f t="shared" si="3"/>
        <v>1688.73</v>
      </c>
      <c r="AF61" s="473">
        <f t="shared" si="4"/>
        <v>1179.190496</v>
      </c>
    </row>
    <row r="62" spans="2:32" ht="12.75">
      <c r="B62" s="410">
        <f t="shared" si="2"/>
        <v>55</v>
      </c>
      <c r="C62" s="120" t="s">
        <v>21</v>
      </c>
      <c r="D62" s="416">
        <v>9185</v>
      </c>
      <c r="E62" s="416">
        <v>145.13</v>
      </c>
      <c r="F62" s="450">
        <f>Январь!N58</f>
        <v>110.68610000000001</v>
      </c>
      <c r="G62" s="419">
        <v>237.33</v>
      </c>
      <c r="H62" s="456">
        <f>Февраль!N57</f>
        <v>253.5041</v>
      </c>
      <c r="I62" s="207">
        <v>196.04</v>
      </c>
      <c r="J62" s="456">
        <f>Март!N57</f>
        <v>172.4872</v>
      </c>
      <c r="K62" s="207">
        <v>129.17</v>
      </c>
      <c r="L62" s="456">
        <f>Апрель!N57</f>
        <v>119.18</v>
      </c>
      <c r="M62" s="207">
        <v>31.3</v>
      </c>
      <c r="N62" s="456">
        <f>Май!N57</f>
        <v>11.134500000000003</v>
      </c>
      <c r="O62" s="78">
        <v>2.55</v>
      </c>
      <c r="P62" s="456">
        <f>Июнь!N57</f>
        <v>-8.9058</v>
      </c>
      <c r="Q62" s="207">
        <v>-11.99</v>
      </c>
      <c r="R62" s="456">
        <f>Июль!N57</f>
        <v>-0.7704000000000022</v>
      </c>
      <c r="S62" s="207">
        <v>7.57</v>
      </c>
      <c r="T62" s="456">
        <f>Август!N58</f>
        <v>-3.794800000000002</v>
      </c>
      <c r="U62" s="207">
        <v>6.44</v>
      </c>
      <c r="V62" s="461">
        <f>Сентябрь!N58</f>
        <v>4.349011999999995</v>
      </c>
      <c r="W62" s="206">
        <v>96.86</v>
      </c>
      <c r="X62" s="461">
        <f>Октябрь!N60</f>
        <v>75.544</v>
      </c>
      <c r="Y62" s="206">
        <v>167.58</v>
      </c>
      <c r="Z62" s="469">
        <v>138.56</v>
      </c>
      <c r="AA62" s="43">
        <v>193.5</v>
      </c>
      <c r="AB62" s="469"/>
      <c r="AC62" s="43">
        <v>94.69</v>
      </c>
      <c r="AD62" s="469"/>
      <c r="AE62" s="430">
        <f t="shared" si="3"/>
        <v>1296.17</v>
      </c>
      <c r="AF62" s="473">
        <f t="shared" si="4"/>
        <v>871.9739120000002</v>
      </c>
    </row>
    <row r="63" spans="2:32" ht="12.75">
      <c r="B63" s="410">
        <f t="shared" si="2"/>
        <v>56</v>
      </c>
      <c r="C63" s="120" t="s">
        <v>22</v>
      </c>
      <c r="D63" s="416">
        <v>9190.4</v>
      </c>
      <c r="E63" s="416">
        <v>137</v>
      </c>
      <c r="F63" s="450">
        <f>Январь!N59</f>
        <v>117.03539999999998</v>
      </c>
      <c r="G63" s="419">
        <v>229.63</v>
      </c>
      <c r="H63" s="456">
        <f>Февраль!N58</f>
        <v>253.67339999999996</v>
      </c>
      <c r="I63" s="207">
        <v>197.05</v>
      </c>
      <c r="J63" s="456">
        <f>Март!N58</f>
        <v>173.0408</v>
      </c>
      <c r="K63" s="207">
        <v>127.41</v>
      </c>
      <c r="L63" s="456">
        <f>Апрель!N58</f>
        <v>115.49499999999999</v>
      </c>
      <c r="M63" s="207">
        <v>41.35</v>
      </c>
      <c r="N63" s="456">
        <f>Май!N58</f>
        <v>5.296700000000001</v>
      </c>
      <c r="O63" s="78">
        <v>7.33</v>
      </c>
      <c r="P63" s="456">
        <f>Июнь!N58</f>
        <v>-8.969999999999999</v>
      </c>
      <c r="Q63" s="207">
        <v>3.24</v>
      </c>
      <c r="R63" s="456">
        <f>Июль!N58</f>
        <v>3.2021999999999977</v>
      </c>
      <c r="S63" s="207">
        <v>6.78</v>
      </c>
      <c r="T63" s="456">
        <f>Август!N59</f>
        <v>6.0919000000000025</v>
      </c>
      <c r="U63" s="207">
        <v>4.8</v>
      </c>
      <c r="V63" s="461">
        <f>Сентябрь!N59</f>
        <v>10.824383999999995</v>
      </c>
      <c r="W63" s="206">
        <v>85.54</v>
      </c>
      <c r="X63" s="461">
        <f>Октябрь!N61</f>
        <v>76.76</v>
      </c>
      <c r="Y63" s="206">
        <v>165.28</v>
      </c>
      <c r="Z63" s="469">
        <v>138.51</v>
      </c>
      <c r="AA63" s="43">
        <v>199.16</v>
      </c>
      <c r="AB63" s="469"/>
      <c r="AC63" s="43">
        <v>97.35</v>
      </c>
      <c r="AD63" s="469"/>
      <c r="AE63" s="430">
        <f t="shared" si="3"/>
        <v>1301.9199999999998</v>
      </c>
      <c r="AF63" s="473">
        <f t="shared" si="4"/>
        <v>890.9597839999998</v>
      </c>
    </row>
    <row r="64" spans="2:32" ht="12.75">
      <c r="B64" s="410">
        <f t="shared" si="2"/>
        <v>57</v>
      </c>
      <c r="C64" s="120" t="s">
        <v>23</v>
      </c>
      <c r="D64" s="416">
        <v>9187.9</v>
      </c>
      <c r="E64" s="416">
        <v>115.32</v>
      </c>
      <c r="F64" s="450">
        <f>Январь!N60</f>
        <v>89.29510000000002</v>
      </c>
      <c r="G64" s="419">
        <v>183.83</v>
      </c>
      <c r="H64" s="456">
        <f>Февраль!N59</f>
        <v>207.739</v>
      </c>
      <c r="I64" s="207">
        <v>153.92</v>
      </c>
      <c r="J64" s="456">
        <f>Март!N59</f>
        <v>132.8187</v>
      </c>
      <c r="K64" s="207">
        <v>107.17</v>
      </c>
      <c r="L64" s="456">
        <f>Апрель!N59</f>
        <v>67.8181</v>
      </c>
      <c r="M64" s="207">
        <v>29.34</v>
      </c>
      <c r="N64" s="456">
        <f>Май!N59</f>
        <v>-5.760300000000008</v>
      </c>
      <c r="O64" s="78">
        <v>8.51</v>
      </c>
      <c r="P64" s="456">
        <f>Июнь!N59</f>
        <v>-7.501300000000015</v>
      </c>
      <c r="Q64" s="207">
        <v>1.39</v>
      </c>
      <c r="R64" s="456">
        <f>Июль!N59</f>
        <v>1.571799999999996</v>
      </c>
      <c r="S64" s="207">
        <v>1.06</v>
      </c>
      <c r="T64" s="456">
        <f>Август!N60</f>
        <v>-3.9742000000000033</v>
      </c>
      <c r="U64" s="207">
        <v>-0.51</v>
      </c>
      <c r="V64" s="461">
        <f>Сентябрь!N60</f>
        <v>-2.348624000000001</v>
      </c>
      <c r="W64" s="206">
        <v>70.06</v>
      </c>
      <c r="X64" s="461">
        <f>Октябрь!N62</f>
        <v>42.91799999999999</v>
      </c>
      <c r="Y64" s="205">
        <v>144.52</v>
      </c>
      <c r="Z64" s="466">
        <v>54.32</v>
      </c>
      <c r="AA64" s="69">
        <v>161.1</v>
      </c>
      <c r="AB64" s="469"/>
      <c r="AC64" s="69">
        <v>81.96</v>
      </c>
      <c r="AD64" s="466"/>
      <c r="AE64" s="430">
        <f t="shared" si="3"/>
        <v>1057.6699999999998</v>
      </c>
      <c r="AF64" s="473">
        <f t="shared" si="4"/>
        <v>576.8962760000001</v>
      </c>
    </row>
    <row r="65" spans="2:32" ht="12.75">
      <c r="B65" s="410">
        <f t="shared" si="2"/>
        <v>58</v>
      </c>
      <c r="C65" s="120" t="s">
        <v>24</v>
      </c>
      <c r="D65" s="416">
        <v>9187.1</v>
      </c>
      <c r="E65" s="416">
        <v>129.29</v>
      </c>
      <c r="F65" s="450">
        <f>Январь!N61</f>
        <v>104.3943</v>
      </c>
      <c r="G65" s="419">
        <v>204.81</v>
      </c>
      <c r="H65" s="456">
        <f>Февраль!N60</f>
        <v>245.8835</v>
      </c>
      <c r="I65" s="207">
        <v>173.19</v>
      </c>
      <c r="J65" s="456">
        <f>Март!N60</f>
        <v>159.08489999999998</v>
      </c>
      <c r="K65" s="207">
        <v>117.94</v>
      </c>
      <c r="L65" s="456">
        <f>Апрель!N60</f>
        <v>96.5605</v>
      </c>
      <c r="M65" s="207">
        <v>38.44</v>
      </c>
      <c r="N65" s="456">
        <f>Май!N60</f>
        <v>-1.8225999999999942</v>
      </c>
      <c r="O65" s="78">
        <v>0</v>
      </c>
      <c r="P65" s="456">
        <f>Июнь!N60</f>
        <v>-25.73360000000001</v>
      </c>
      <c r="Q65" s="207">
        <v>0</v>
      </c>
      <c r="R65" s="456">
        <f>Июль!N60</f>
        <v>-10.267300000000006</v>
      </c>
      <c r="S65" s="207">
        <v>0</v>
      </c>
      <c r="T65" s="456">
        <f>Август!N61</f>
        <v>-15.4805</v>
      </c>
      <c r="U65" s="207">
        <v>0</v>
      </c>
      <c r="V65" s="461">
        <f>Сентябрь!N61</f>
        <v>-4.254280000000001</v>
      </c>
      <c r="W65" s="206">
        <v>68.35</v>
      </c>
      <c r="X65" s="461">
        <f>Октябрь!N63</f>
        <v>74.732</v>
      </c>
      <c r="Y65" s="206">
        <v>154.08</v>
      </c>
      <c r="Z65" s="469">
        <v>133.3</v>
      </c>
      <c r="AA65" s="43">
        <v>190.29</v>
      </c>
      <c r="AB65" s="469"/>
      <c r="AC65" s="43">
        <v>92.1</v>
      </c>
      <c r="AD65" s="469"/>
      <c r="AE65" s="430">
        <f t="shared" si="3"/>
        <v>1168.49</v>
      </c>
      <c r="AF65" s="473">
        <f t="shared" si="4"/>
        <v>756.3969200000001</v>
      </c>
    </row>
    <row r="66" spans="2:32" ht="12.75">
      <c r="B66" s="410">
        <f t="shared" si="2"/>
        <v>59</v>
      </c>
      <c r="C66" s="120" t="s">
        <v>25</v>
      </c>
      <c r="D66" s="416">
        <v>6886.8</v>
      </c>
      <c r="E66" s="416">
        <v>88.86</v>
      </c>
      <c r="F66" s="450">
        <f>Январь!N62</f>
        <v>78.1155</v>
      </c>
      <c r="G66" s="419">
        <v>141.72</v>
      </c>
      <c r="H66" s="456">
        <f>Февраль!N61</f>
        <v>167.1101</v>
      </c>
      <c r="I66" s="207">
        <v>121.48</v>
      </c>
      <c r="J66" s="456">
        <f>Март!N61</f>
        <v>113.1872</v>
      </c>
      <c r="K66" s="207">
        <v>81.03</v>
      </c>
      <c r="L66" s="456">
        <f>Апрель!N61</f>
        <v>75.5784</v>
      </c>
      <c r="M66" s="207">
        <v>30.85</v>
      </c>
      <c r="N66" s="456">
        <f>Май!N61</f>
        <v>16.8371</v>
      </c>
      <c r="O66" s="78">
        <v>13.51</v>
      </c>
      <c r="P66" s="456">
        <f>Июнь!N61</f>
        <v>16.649459999999998</v>
      </c>
      <c r="Q66" s="207">
        <v>17.03</v>
      </c>
      <c r="R66" s="456">
        <f>Июль!N61</f>
        <v>6.30942</v>
      </c>
      <c r="S66" s="207">
        <v>24.77</v>
      </c>
      <c r="T66" s="456">
        <f>Август!N62</f>
        <v>13.408059999999997</v>
      </c>
      <c r="U66" s="207">
        <v>20.05</v>
      </c>
      <c r="V66" s="461">
        <f>Сентябрь!N62</f>
        <v>12.077860000000001</v>
      </c>
      <c r="W66" s="206">
        <v>71.46</v>
      </c>
      <c r="X66" s="461">
        <f>Октябрь!N64</f>
        <v>45.31</v>
      </c>
      <c r="Y66" s="206">
        <v>122.97</v>
      </c>
      <c r="Z66" s="469">
        <v>83.87</v>
      </c>
      <c r="AA66" s="43">
        <v>133.61</v>
      </c>
      <c r="AB66" s="469"/>
      <c r="AC66" s="43">
        <v>63.83</v>
      </c>
      <c r="AD66" s="469"/>
      <c r="AE66" s="430">
        <f t="shared" si="3"/>
        <v>931.1700000000001</v>
      </c>
      <c r="AF66" s="473">
        <f t="shared" si="4"/>
        <v>628.4531</v>
      </c>
    </row>
    <row r="67" spans="2:32" ht="13.5" thickBot="1">
      <c r="B67" s="410">
        <f t="shared" si="2"/>
        <v>60</v>
      </c>
      <c r="C67" s="139" t="s">
        <v>26</v>
      </c>
      <c r="D67" s="444">
        <v>4261.1</v>
      </c>
      <c r="E67" s="444">
        <v>80.9</v>
      </c>
      <c r="F67" s="450">
        <f>Январь!N63</f>
        <v>48.985200000000006</v>
      </c>
      <c r="G67" s="420">
        <v>103.05</v>
      </c>
      <c r="H67" s="457">
        <f>Февраль!N62</f>
        <v>104.9032</v>
      </c>
      <c r="I67" s="248">
        <v>84.62</v>
      </c>
      <c r="J67" s="456">
        <f>Март!N62</f>
        <v>72.3241</v>
      </c>
      <c r="K67" s="207">
        <v>59.15</v>
      </c>
      <c r="L67" s="456">
        <f>Апрель!N62</f>
        <v>71.6357</v>
      </c>
      <c r="M67" s="207">
        <v>22.3</v>
      </c>
      <c r="N67" s="456">
        <f>Май!N62</f>
        <v>48.6542</v>
      </c>
      <c r="O67" s="78">
        <v>6.57</v>
      </c>
      <c r="P67" s="456">
        <f>Июнь!N62</f>
        <v>8.780599999999996</v>
      </c>
      <c r="Q67" s="207">
        <v>12.1</v>
      </c>
      <c r="R67" s="456">
        <f>Июль!N62</f>
        <v>4.337299999999999</v>
      </c>
      <c r="S67" s="207">
        <v>10.21</v>
      </c>
      <c r="T67" s="456">
        <f>Август!N63</f>
        <v>5.206099999999999</v>
      </c>
      <c r="U67" s="207">
        <v>10.22</v>
      </c>
      <c r="V67" s="461">
        <f>Сентябрь!N63</f>
        <v>6.016055999999999</v>
      </c>
      <c r="W67" s="206">
        <v>190.11</v>
      </c>
      <c r="X67" s="461">
        <f>Октябрь!N65</f>
        <v>38.006</v>
      </c>
      <c r="Y67" s="208">
        <v>114.32</v>
      </c>
      <c r="Z67" s="468">
        <v>67.7</v>
      </c>
      <c r="AA67" s="77">
        <v>83.01</v>
      </c>
      <c r="AB67" s="468"/>
      <c r="AC67" s="77">
        <v>42.64</v>
      </c>
      <c r="AD67" s="468"/>
      <c r="AE67" s="430">
        <f t="shared" si="3"/>
        <v>819.1999999999999</v>
      </c>
      <c r="AF67" s="473">
        <f t="shared" si="4"/>
        <v>476.54845599999993</v>
      </c>
    </row>
    <row r="68" spans="2:32" ht="13.5" hidden="1" thickBot="1">
      <c r="B68" s="410">
        <f t="shared" si="2"/>
        <v>61</v>
      </c>
      <c r="C68" s="120" t="s">
        <v>144</v>
      </c>
      <c r="D68" s="411">
        <v>28893.1</v>
      </c>
      <c r="E68" s="416"/>
      <c r="F68" s="451"/>
      <c r="G68" s="421"/>
      <c r="H68" s="456">
        <f>Февраль!N63</f>
        <v>605.2228</v>
      </c>
      <c r="I68" s="207"/>
      <c r="J68" s="456">
        <f>Март!N63</f>
        <v>646.99904</v>
      </c>
      <c r="K68" s="207"/>
      <c r="L68" s="456">
        <f>Апрель!N63</f>
        <v>423.3188</v>
      </c>
      <c r="M68" s="207"/>
      <c r="N68" s="456">
        <f>Май!N63</f>
        <v>98.26584</v>
      </c>
      <c r="O68" s="78"/>
      <c r="P68" s="456">
        <f>Июнь!N63</f>
        <v>60.70168</v>
      </c>
      <c r="Q68" s="207"/>
      <c r="R68" s="456">
        <f>Июль!N63</f>
        <v>51.8476</v>
      </c>
      <c r="S68" s="207"/>
      <c r="T68" s="456">
        <f>Август!N64</f>
        <v>63.28420000000001</v>
      </c>
      <c r="U68" s="207"/>
      <c r="V68" s="461">
        <f>Сентябрь!N64</f>
        <v>60.26655599999999</v>
      </c>
      <c r="W68" s="206"/>
      <c r="X68" s="461">
        <f>Октябрь!N66</f>
        <v>285.32599999999996</v>
      </c>
      <c r="Y68" s="206"/>
      <c r="Z68" s="469">
        <v>525.73</v>
      </c>
      <c r="AA68" s="43"/>
      <c r="AB68" s="469"/>
      <c r="AC68" s="43"/>
      <c r="AD68" s="469"/>
      <c r="AE68" s="430">
        <f t="shared" si="3"/>
        <v>0</v>
      </c>
      <c r="AF68" s="473">
        <f t="shared" si="4"/>
        <v>2820.962516</v>
      </c>
    </row>
    <row r="69" spans="2:32" ht="13.5" hidden="1" thickBot="1">
      <c r="B69" s="410">
        <f t="shared" si="2"/>
        <v>62</v>
      </c>
      <c r="C69" s="120" t="s">
        <v>145</v>
      </c>
      <c r="D69" s="411">
        <v>14015.8</v>
      </c>
      <c r="E69" s="416"/>
      <c r="F69" s="451"/>
      <c r="G69" s="421"/>
      <c r="H69" s="456">
        <f>Февраль!N64</f>
        <v>296.79856</v>
      </c>
      <c r="I69" s="207"/>
      <c r="J69" s="456">
        <f>Март!N64</f>
        <v>304.05412</v>
      </c>
      <c r="K69" s="207"/>
      <c r="L69" s="456">
        <f>Апрель!N64</f>
        <v>202.9824</v>
      </c>
      <c r="M69" s="207"/>
      <c r="N69" s="456">
        <f>Май!N64</f>
        <v>43.3656</v>
      </c>
      <c r="O69" s="78"/>
      <c r="P69" s="456">
        <f>Июнь!N64</f>
        <v>30.53228</v>
      </c>
      <c r="Q69" s="207"/>
      <c r="R69" s="456">
        <f>Июль!N64</f>
        <v>21.67068</v>
      </c>
      <c r="S69" s="207"/>
      <c r="T69" s="456">
        <f>Август!N65</f>
        <v>24.00856</v>
      </c>
      <c r="U69" s="207"/>
      <c r="V69" s="461">
        <f>Сентябрь!N65</f>
        <v>25.551911999999998</v>
      </c>
      <c r="W69" s="206"/>
      <c r="X69" s="461">
        <f>Октябрь!N67</f>
        <v>124.432</v>
      </c>
      <c r="Y69" s="206"/>
      <c r="Z69" s="469">
        <v>218.43</v>
      </c>
      <c r="AA69" s="43"/>
      <c r="AB69" s="469"/>
      <c r="AC69" s="43"/>
      <c r="AD69" s="469"/>
      <c r="AE69" s="430">
        <f t="shared" si="3"/>
        <v>0</v>
      </c>
      <c r="AF69" s="473">
        <f t="shared" si="4"/>
        <v>1291.826112</v>
      </c>
    </row>
    <row r="70" spans="2:32" ht="13.5" hidden="1" thickBot="1">
      <c r="B70" s="410">
        <f t="shared" si="2"/>
        <v>63</v>
      </c>
      <c r="C70" s="435" t="s">
        <v>170</v>
      </c>
      <c r="D70" s="412">
        <v>12672.5</v>
      </c>
      <c r="E70" s="442"/>
      <c r="F70" s="452"/>
      <c r="G70" s="422"/>
      <c r="H70" s="457"/>
      <c r="I70" s="248"/>
      <c r="J70" s="457"/>
      <c r="K70" s="248"/>
      <c r="L70" s="457"/>
      <c r="M70" s="248"/>
      <c r="N70" s="457"/>
      <c r="O70" s="425"/>
      <c r="P70" s="457"/>
      <c r="Q70" s="248"/>
      <c r="R70" s="457"/>
      <c r="S70" s="248"/>
      <c r="T70" s="456">
        <f>Август!N66</f>
        <v>12.294280000000002</v>
      </c>
      <c r="U70" s="207"/>
      <c r="V70" s="461">
        <f>Сентябрь!N66</f>
        <v>-4.678424000000014</v>
      </c>
      <c r="W70" s="206"/>
      <c r="X70" s="461">
        <f>Октябрь!N68</f>
        <v>130.47200000000004</v>
      </c>
      <c r="Y70" s="205"/>
      <c r="Z70" s="160">
        <v>189.76</v>
      </c>
      <c r="AA70" s="69"/>
      <c r="AB70" s="466"/>
      <c r="AC70" s="69"/>
      <c r="AD70" s="466"/>
      <c r="AE70" s="430">
        <f t="shared" si="3"/>
        <v>0</v>
      </c>
      <c r="AF70" s="473">
        <f t="shared" si="4"/>
        <v>327.847856</v>
      </c>
    </row>
    <row r="71" spans="2:32" ht="31.5" customHeight="1" hidden="1" thickBot="1">
      <c r="B71" s="410">
        <f t="shared" si="2"/>
        <v>64</v>
      </c>
      <c r="C71" s="17" t="s">
        <v>172</v>
      </c>
      <c r="D71" s="413">
        <v>11094.5</v>
      </c>
      <c r="E71" s="445"/>
      <c r="F71" s="453"/>
      <c r="G71" s="423"/>
      <c r="H71" s="458"/>
      <c r="I71" s="330"/>
      <c r="J71" s="458"/>
      <c r="K71" s="330"/>
      <c r="L71" s="458"/>
      <c r="M71" s="330"/>
      <c r="N71" s="458"/>
      <c r="O71" s="426"/>
      <c r="P71" s="458"/>
      <c r="Q71" s="330"/>
      <c r="R71" s="458"/>
      <c r="S71" s="330"/>
      <c r="T71" s="459">
        <f>Август!N67</f>
        <v>6.1952</v>
      </c>
      <c r="U71" s="424"/>
      <c r="V71" s="461">
        <f>Сентябрь!N67</f>
        <v>17.608043999999992</v>
      </c>
      <c r="W71" s="208"/>
      <c r="X71" s="462">
        <f>Октябрь!N69</f>
        <v>86.42399999999999</v>
      </c>
      <c r="Y71" s="209"/>
      <c r="Z71" s="470">
        <v>173.76</v>
      </c>
      <c r="AA71" s="371"/>
      <c r="AB71" s="470"/>
      <c r="AC71" s="371"/>
      <c r="AD71" s="470"/>
      <c r="AE71" s="431">
        <f t="shared" si="3"/>
        <v>0</v>
      </c>
      <c r="AF71" s="474">
        <f t="shared" si="4"/>
        <v>283.987244</v>
      </c>
    </row>
    <row r="72" spans="2:32" ht="13.5" thickBot="1">
      <c r="B72" s="475"/>
      <c r="C72" s="483" t="s">
        <v>38</v>
      </c>
      <c r="D72" s="256">
        <f aca="true" t="shared" si="5" ref="D72:V72">SUM(D6:D71)</f>
        <v>636108.3</v>
      </c>
      <c r="E72" s="256">
        <f t="shared" si="5"/>
        <v>9279.609999999999</v>
      </c>
      <c r="F72" s="256">
        <f t="shared" si="5"/>
        <v>9214.223900000003</v>
      </c>
      <c r="G72" s="256">
        <f t="shared" si="5"/>
        <v>14189.649999999998</v>
      </c>
      <c r="H72" s="256">
        <f t="shared" si="5"/>
        <v>17310.54554</v>
      </c>
      <c r="I72" s="256">
        <f t="shared" si="5"/>
        <v>12453.79</v>
      </c>
      <c r="J72" s="256">
        <f t="shared" si="5"/>
        <v>13788.91044</v>
      </c>
      <c r="K72" s="256">
        <f t="shared" si="5"/>
        <v>8825.520000000002</v>
      </c>
      <c r="L72" s="256">
        <f t="shared" si="5"/>
        <v>10099.783000000003</v>
      </c>
      <c r="M72" s="256">
        <f t="shared" si="5"/>
        <v>4447.34</v>
      </c>
      <c r="N72" s="256">
        <f t="shared" si="5"/>
        <v>3088.1536400000005</v>
      </c>
      <c r="O72" s="256">
        <f t="shared" si="5"/>
        <v>2773.6900000000005</v>
      </c>
      <c r="P72" s="256">
        <f t="shared" si="5"/>
        <v>2516.346320000001</v>
      </c>
      <c r="Q72" s="256">
        <f t="shared" si="5"/>
        <v>2500.0200000000004</v>
      </c>
      <c r="R72" s="256">
        <f t="shared" si="5"/>
        <v>2398.08032</v>
      </c>
      <c r="S72" s="256">
        <f t="shared" si="5"/>
        <v>2628.45</v>
      </c>
      <c r="T72" s="256">
        <f t="shared" si="5"/>
        <v>2414.3655799999997</v>
      </c>
      <c r="U72" s="256">
        <f t="shared" si="5"/>
        <v>2574.770000000001</v>
      </c>
      <c r="V72" s="256">
        <f t="shared" si="5"/>
        <v>2638.0634999999993</v>
      </c>
      <c r="W72" s="427">
        <f aca="true" t="shared" si="6" ref="W72:AF72">SUM(W6:W71)</f>
        <v>7179.719999999999</v>
      </c>
      <c r="X72" s="256">
        <f t="shared" si="6"/>
        <v>7180.986000000001</v>
      </c>
      <c r="Y72" s="256">
        <f t="shared" si="6"/>
        <v>11935.099999999999</v>
      </c>
      <c r="Z72" s="256">
        <f t="shared" si="6"/>
        <v>11533.130000000003</v>
      </c>
      <c r="AA72" s="427">
        <f t="shared" si="6"/>
        <v>13819.85</v>
      </c>
      <c r="AB72" s="454">
        <f t="shared" si="6"/>
        <v>2012</v>
      </c>
      <c r="AC72" s="255">
        <f t="shared" si="6"/>
        <v>7654.550000000002</v>
      </c>
      <c r="AD72" s="454">
        <f t="shared" si="6"/>
        <v>2012</v>
      </c>
      <c r="AE72" s="255">
        <f t="shared" si="6"/>
        <v>76130.06000000001</v>
      </c>
      <c r="AF72" s="454">
        <f t="shared" si="6"/>
        <v>62062.58824</v>
      </c>
    </row>
    <row r="73" spans="6:27" ht="12.7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X73" s="34"/>
      <c r="Y73" s="34"/>
      <c r="Z73" s="34"/>
      <c r="AA73" s="34"/>
    </row>
    <row r="74" spans="8:32" ht="14.25" customHeight="1">
      <c r="H74" s="5"/>
      <c r="I74" s="5"/>
      <c r="J74" s="406"/>
      <c r="K74" s="40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3:32" ht="18" customHeight="1">
      <c r="C75" t="s">
        <v>188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8:32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2:7" ht="12.75">
      <c r="B77" s="5" t="s">
        <v>174</v>
      </c>
      <c r="C77" s="5"/>
      <c r="D77" s="5"/>
      <c r="E77" s="5"/>
      <c r="F77" s="5"/>
      <c r="G77" s="5"/>
    </row>
    <row r="78" spans="2:7" ht="12.75">
      <c r="B78" s="5" t="s">
        <v>69</v>
      </c>
      <c r="C78" s="5"/>
      <c r="D78" s="5"/>
      <c r="E78" s="5"/>
      <c r="F78" s="5"/>
      <c r="G78" s="5"/>
    </row>
    <row r="79" spans="2:7" ht="12.75">
      <c r="B79" s="5" t="s">
        <v>186</v>
      </c>
      <c r="C79" s="5"/>
      <c r="D79" s="5"/>
      <c r="E79" s="5"/>
      <c r="F79" s="5"/>
      <c r="G79" s="5"/>
    </row>
  </sheetData>
  <sheetProtection/>
  <mergeCells count="31">
    <mergeCell ref="B4:B5"/>
    <mergeCell ref="C4:C5"/>
    <mergeCell ref="D4:D5"/>
    <mergeCell ref="Q47:R47"/>
    <mergeCell ref="S47:T47"/>
    <mergeCell ref="AC47:AD47"/>
    <mergeCell ref="AE47:AF47"/>
    <mergeCell ref="U47:V47"/>
    <mergeCell ref="W47:X47"/>
    <mergeCell ref="Y47:Z47"/>
    <mergeCell ref="AA47:AB47"/>
    <mergeCell ref="E47:F47"/>
    <mergeCell ref="G47:H47"/>
    <mergeCell ref="I47:J47"/>
    <mergeCell ref="K47:L47"/>
    <mergeCell ref="M47:N47"/>
    <mergeCell ref="O47:P47"/>
    <mergeCell ref="M4:N4"/>
    <mergeCell ref="O4:P4"/>
    <mergeCell ref="Q4:R4"/>
    <mergeCell ref="S4:T4"/>
    <mergeCell ref="E4:F4"/>
    <mergeCell ref="G4:H4"/>
    <mergeCell ref="I4:J4"/>
    <mergeCell ref="K4:L4"/>
    <mergeCell ref="AC4:AD4"/>
    <mergeCell ref="AE4:AF4"/>
    <mergeCell ref="U4:V4"/>
    <mergeCell ref="W4:X4"/>
    <mergeCell ref="Y4:Z4"/>
    <mergeCell ref="AA4:AB4"/>
  </mergeCells>
  <printOptions/>
  <pageMargins left="0.16" right="0.16" top="0.26" bottom="0.2" header="0.2" footer="0.2"/>
  <pageSetup horizontalDpi="600" verticalDpi="600" orientation="landscape" paperSize="9" scale="95" r:id="rId1"/>
  <ignoredErrors>
    <ignoredError sqref="C6:C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F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4" sqref="C24:C29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176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177</v>
      </c>
      <c r="J5" s="182" t="s">
        <v>156</v>
      </c>
      <c r="K5" s="182" t="s">
        <v>163</v>
      </c>
      <c r="L5" s="183" t="s">
        <v>164</v>
      </c>
      <c r="M5" s="182" t="s">
        <v>165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331">
        <v>1</v>
      </c>
      <c r="C6" s="333" t="s">
        <v>131</v>
      </c>
      <c r="D6" s="323" t="s">
        <v>98</v>
      </c>
      <c r="E6" s="46" t="s">
        <v>138</v>
      </c>
      <c r="F6" s="122">
        <v>6457.6</v>
      </c>
      <c r="G6" s="216">
        <v>7.39</v>
      </c>
      <c r="H6" s="193">
        <v>511</v>
      </c>
      <c r="I6" s="185">
        <f>H6*66/1000</f>
        <v>33.726</v>
      </c>
      <c r="J6" s="158"/>
      <c r="K6" s="162"/>
      <c r="L6" s="158"/>
      <c r="M6" s="235">
        <v>86.71</v>
      </c>
      <c r="N6" s="235">
        <f aca="true" t="shared" si="0" ref="N6:N37">M6-I6-J6-L6</f>
        <v>52.983999999999995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332">
        <f aca="true" t="shared" si="1" ref="B7:B69">B6+1</f>
        <v>2</v>
      </c>
      <c r="C7" s="334" t="s">
        <v>132</v>
      </c>
      <c r="D7" s="324" t="s">
        <v>98</v>
      </c>
      <c r="E7" s="52">
        <v>79</v>
      </c>
      <c r="F7" s="124">
        <v>12688.5</v>
      </c>
      <c r="G7" s="163">
        <v>8.06</v>
      </c>
      <c r="H7" s="166">
        <v>909</v>
      </c>
      <c r="I7" s="185">
        <f>H7*66/1000</f>
        <v>59.994</v>
      </c>
      <c r="J7" s="82"/>
      <c r="K7" s="163"/>
      <c r="L7" s="163">
        <f>K7*66.132/1000</f>
        <v>0</v>
      </c>
      <c r="M7" s="250">
        <v>167.29</v>
      </c>
      <c r="N7" s="235">
        <f t="shared" si="0"/>
        <v>107.29599999999999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332">
        <f t="shared" si="1"/>
        <v>3</v>
      </c>
      <c r="C8" s="334" t="s">
        <v>133</v>
      </c>
      <c r="D8" s="325" t="s">
        <v>94</v>
      </c>
      <c r="E8" s="52" t="s">
        <v>137</v>
      </c>
      <c r="F8" s="124">
        <v>11181.7</v>
      </c>
      <c r="G8" s="163">
        <v>8.06</v>
      </c>
      <c r="H8" s="166">
        <v>633</v>
      </c>
      <c r="I8" s="185"/>
      <c r="J8" s="185">
        <f>H8*66/1000</f>
        <v>41.778</v>
      </c>
      <c r="K8" s="163"/>
      <c r="L8" s="163">
        <f aca="true" t="shared" si="2" ref="L8:L67">K8*66.132/1000</f>
        <v>0</v>
      </c>
      <c r="M8" s="250">
        <v>115.22</v>
      </c>
      <c r="N8" s="235">
        <f t="shared" si="0"/>
        <v>73.44200000000001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332">
        <f t="shared" si="1"/>
        <v>4</v>
      </c>
      <c r="C9" s="335" t="s">
        <v>71</v>
      </c>
      <c r="D9" s="325" t="s">
        <v>94</v>
      </c>
      <c r="E9" s="64" t="s">
        <v>95</v>
      </c>
      <c r="F9" s="155">
        <v>10509.4</v>
      </c>
      <c r="G9" s="159">
        <v>8.01</v>
      </c>
      <c r="H9" s="167">
        <v>303</v>
      </c>
      <c r="I9" s="205"/>
      <c r="J9" s="185">
        <f>H9*66/1000</f>
        <v>19.998</v>
      </c>
      <c r="K9" s="162"/>
      <c r="L9" s="163">
        <f t="shared" si="2"/>
        <v>0</v>
      </c>
      <c r="M9" s="237">
        <v>105.29</v>
      </c>
      <c r="N9" s="235">
        <f t="shared" si="0"/>
        <v>85.292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332">
        <f t="shared" si="1"/>
        <v>5</v>
      </c>
      <c r="C10" s="336" t="s">
        <v>1</v>
      </c>
      <c r="D10" s="324" t="s">
        <v>96</v>
      </c>
      <c r="E10" s="47" t="s">
        <v>97</v>
      </c>
      <c r="F10" s="155">
        <v>9045.5</v>
      </c>
      <c r="G10" s="160">
        <v>6.8</v>
      </c>
      <c r="H10" s="167">
        <v>394</v>
      </c>
      <c r="I10" s="185">
        <f>H10*66/1000</f>
        <v>26.004</v>
      </c>
      <c r="J10" s="115"/>
      <c r="K10" s="159"/>
      <c r="L10" s="163">
        <f t="shared" si="2"/>
        <v>0</v>
      </c>
      <c r="M10" s="237">
        <v>85.74</v>
      </c>
      <c r="N10" s="235">
        <f t="shared" si="0"/>
        <v>59.73599999999999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332">
        <f t="shared" si="1"/>
        <v>6</v>
      </c>
      <c r="C11" s="337" t="s">
        <v>107</v>
      </c>
      <c r="D11" s="324" t="s">
        <v>108</v>
      </c>
      <c r="E11" s="47">
        <v>45</v>
      </c>
      <c r="F11" s="129">
        <v>7179.6</v>
      </c>
      <c r="G11" s="164">
        <v>7.83</v>
      </c>
      <c r="H11" s="211">
        <v>185</v>
      </c>
      <c r="I11" s="185">
        <f>H11*66/1000</f>
        <v>12.21</v>
      </c>
      <c r="J11" s="83"/>
      <c r="K11" s="164"/>
      <c r="L11" s="163">
        <f t="shared" si="2"/>
        <v>0</v>
      </c>
      <c r="M11" s="250">
        <v>75.24</v>
      </c>
      <c r="N11" s="235">
        <f t="shared" si="0"/>
        <v>63.029999999999994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332">
        <f t="shared" si="1"/>
        <v>7</v>
      </c>
      <c r="C12" s="337" t="s">
        <v>109</v>
      </c>
      <c r="D12" s="324" t="s">
        <v>108</v>
      </c>
      <c r="E12" s="47" t="s">
        <v>110</v>
      </c>
      <c r="F12" s="124">
        <v>7003.6</v>
      </c>
      <c r="G12" s="164">
        <v>7.47</v>
      </c>
      <c r="H12" s="211">
        <v>283</v>
      </c>
      <c r="I12" s="185">
        <f>H12*66/1000</f>
        <v>18.678</v>
      </c>
      <c r="J12" s="83"/>
      <c r="K12" s="164"/>
      <c r="L12" s="163">
        <f t="shared" si="2"/>
        <v>0</v>
      </c>
      <c r="M12" s="250">
        <v>73.94</v>
      </c>
      <c r="N12" s="235">
        <f t="shared" si="0"/>
        <v>55.262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332">
        <f t="shared" si="1"/>
        <v>8</v>
      </c>
      <c r="C13" s="337" t="s">
        <v>116</v>
      </c>
      <c r="D13" s="326" t="s">
        <v>117</v>
      </c>
      <c r="E13" s="47" t="s">
        <v>118</v>
      </c>
      <c r="F13" s="124">
        <v>6727.7</v>
      </c>
      <c r="G13" s="160">
        <v>6.16</v>
      </c>
      <c r="H13" s="168">
        <v>535</v>
      </c>
      <c r="I13" s="185">
        <f>H13*66/1000</f>
        <v>35.31</v>
      </c>
      <c r="J13" s="113"/>
      <c r="K13" s="160"/>
      <c r="L13" s="163">
        <f t="shared" si="2"/>
        <v>0</v>
      </c>
      <c r="M13" s="240">
        <v>74.91</v>
      </c>
      <c r="N13" s="235">
        <f t="shared" si="0"/>
        <v>39.599999999999994</v>
      </c>
      <c r="O13" s="75"/>
      <c r="P13" s="3"/>
    </row>
    <row r="14" spans="2:16" ht="12.75" customHeight="1">
      <c r="B14" s="332">
        <f t="shared" si="1"/>
        <v>9</v>
      </c>
      <c r="C14" s="337" t="s">
        <v>128</v>
      </c>
      <c r="D14" s="326" t="s">
        <v>101</v>
      </c>
      <c r="E14" s="47">
        <v>40</v>
      </c>
      <c r="F14" s="124">
        <v>4726.8</v>
      </c>
      <c r="G14" s="160">
        <v>8.06</v>
      </c>
      <c r="H14" s="168">
        <v>162</v>
      </c>
      <c r="I14" s="206"/>
      <c r="J14" s="185">
        <f aca="true" t="shared" si="3" ref="J14:J28">H14*66/1000</f>
        <v>10.692</v>
      </c>
      <c r="K14" s="163"/>
      <c r="L14" s="163">
        <f t="shared" si="2"/>
        <v>0</v>
      </c>
      <c r="M14" s="240">
        <v>55</v>
      </c>
      <c r="N14" s="235">
        <f t="shared" si="0"/>
        <v>44.308</v>
      </c>
      <c r="O14" s="75"/>
      <c r="P14" s="3"/>
    </row>
    <row r="15" spans="2:16" ht="12.75" customHeight="1">
      <c r="B15" s="332">
        <f t="shared" si="1"/>
        <v>10</v>
      </c>
      <c r="C15" s="337" t="s">
        <v>129</v>
      </c>
      <c r="D15" s="326" t="s">
        <v>101</v>
      </c>
      <c r="E15" s="47">
        <v>42</v>
      </c>
      <c r="F15" s="124">
        <v>4730.4</v>
      </c>
      <c r="G15" s="160">
        <v>8.06</v>
      </c>
      <c r="H15" s="168">
        <v>377</v>
      </c>
      <c r="I15" s="206"/>
      <c r="J15" s="185">
        <f t="shared" si="3"/>
        <v>24.882</v>
      </c>
      <c r="K15" s="163"/>
      <c r="L15" s="163">
        <f t="shared" si="2"/>
        <v>0</v>
      </c>
      <c r="M15" s="240">
        <v>65.79</v>
      </c>
      <c r="N15" s="235">
        <f t="shared" si="0"/>
        <v>40.908</v>
      </c>
      <c r="O15" s="75"/>
      <c r="P15" s="3"/>
    </row>
    <row r="16" spans="2:16" ht="12.75" customHeight="1">
      <c r="B16" s="332">
        <f t="shared" si="1"/>
        <v>11</v>
      </c>
      <c r="C16" s="337" t="s">
        <v>130</v>
      </c>
      <c r="D16" s="326" t="s">
        <v>101</v>
      </c>
      <c r="E16" s="47">
        <v>44</v>
      </c>
      <c r="F16" s="124">
        <v>4727.7</v>
      </c>
      <c r="G16" s="160">
        <v>8.06</v>
      </c>
      <c r="H16" s="168">
        <v>184</v>
      </c>
      <c r="I16" s="206"/>
      <c r="J16" s="185">
        <f t="shared" si="3"/>
        <v>12.144</v>
      </c>
      <c r="K16" s="163"/>
      <c r="L16" s="163">
        <f t="shared" si="2"/>
        <v>0</v>
      </c>
      <c r="M16" s="240">
        <v>72.09</v>
      </c>
      <c r="N16" s="235">
        <f t="shared" si="0"/>
        <v>59.946000000000005</v>
      </c>
      <c r="O16" s="75"/>
      <c r="P16" s="3"/>
    </row>
    <row r="17" spans="2:16" ht="12.75" customHeight="1">
      <c r="B17" s="332">
        <f t="shared" si="1"/>
        <v>12</v>
      </c>
      <c r="C17" s="337" t="s">
        <v>120</v>
      </c>
      <c r="D17" s="326" t="s">
        <v>111</v>
      </c>
      <c r="E17" s="47">
        <v>11</v>
      </c>
      <c r="F17" s="124">
        <v>10656</v>
      </c>
      <c r="G17" s="160">
        <v>8.06</v>
      </c>
      <c r="H17" s="168">
        <v>788</v>
      </c>
      <c r="I17" s="206"/>
      <c r="J17" s="185">
        <f t="shared" si="3"/>
        <v>52.008</v>
      </c>
      <c r="K17" s="163"/>
      <c r="L17" s="163">
        <f t="shared" si="2"/>
        <v>0</v>
      </c>
      <c r="M17" s="240">
        <v>129.24</v>
      </c>
      <c r="N17" s="235">
        <f t="shared" si="0"/>
        <v>77.232</v>
      </c>
      <c r="O17" s="75"/>
      <c r="P17" s="32"/>
    </row>
    <row r="18" spans="2:28" ht="12.75" customHeight="1">
      <c r="B18" s="332">
        <f t="shared" si="1"/>
        <v>13</v>
      </c>
      <c r="C18" s="337" t="s">
        <v>61</v>
      </c>
      <c r="D18" s="326" t="s">
        <v>101</v>
      </c>
      <c r="E18" s="47">
        <v>13</v>
      </c>
      <c r="F18" s="124">
        <v>3545.7</v>
      </c>
      <c r="G18" s="165">
        <v>8.2</v>
      </c>
      <c r="H18" s="78">
        <v>283</v>
      </c>
      <c r="I18" s="207"/>
      <c r="J18" s="185">
        <f t="shared" si="3"/>
        <v>18.678</v>
      </c>
      <c r="K18" s="163"/>
      <c r="L18" s="163">
        <f t="shared" si="2"/>
        <v>0</v>
      </c>
      <c r="M18" s="250">
        <v>53.19</v>
      </c>
      <c r="N18" s="235">
        <f t="shared" si="0"/>
        <v>34.512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332">
        <f t="shared" si="1"/>
        <v>14</v>
      </c>
      <c r="C19" s="337" t="s">
        <v>62</v>
      </c>
      <c r="D19" s="326" t="s">
        <v>101</v>
      </c>
      <c r="E19" s="47">
        <v>15</v>
      </c>
      <c r="F19" s="124">
        <v>3547.1</v>
      </c>
      <c r="G19" s="165">
        <v>8.42</v>
      </c>
      <c r="H19" s="78">
        <v>272</v>
      </c>
      <c r="I19" s="207"/>
      <c r="J19" s="185">
        <f t="shared" si="3"/>
        <v>17.952</v>
      </c>
      <c r="K19" s="163"/>
      <c r="L19" s="163">
        <f t="shared" si="2"/>
        <v>0</v>
      </c>
      <c r="M19" s="250">
        <v>43.91</v>
      </c>
      <c r="N19" s="235">
        <f t="shared" si="0"/>
        <v>25.957999999999995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332">
        <f t="shared" si="1"/>
        <v>15</v>
      </c>
      <c r="C20" s="337" t="s">
        <v>67</v>
      </c>
      <c r="D20" s="326" t="s">
        <v>101</v>
      </c>
      <c r="E20" s="47" t="s">
        <v>102</v>
      </c>
      <c r="F20" s="124">
        <v>3524.6</v>
      </c>
      <c r="G20" s="160">
        <v>8.06</v>
      </c>
      <c r="H20" s="168">
        <v>249</v>
      </c>
      <c r="I20" s="206"/>
      <c r="J20" s="185">
        <f t="shared" si="3"/>
        <v>16.434</v>
      </c>
      <c r="K20" s="163"/>
      <c r="L20" s="163">
        <f t="shared" si="2"/>
        <v>0</v>
      </c>
      <c r="M20" s="250">
        <v>58.49</v>
      </c>
      <c r="N20" s="235">
        <f t="shared" si="0"/>
        <v>42.056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332">
        <f t="shared" si="1"/>
        <v>16</v>
      </c>
      <c r="C21" s="337" t="s">
        <v>126</v>
      </c>
      <c r="D21" s="326" t="s">
        <v>167</v>
      </c>
      <c r="E21" s="47">
        <v>7</v>
      </c>
      <c r="F21" s="124">
        <v>16614.4</v>
      </c>
      <c r="G21" s="160">
        <v>8.06</v>
      </c>
      <c r="H21" s="168">
        <v>787</v>
      </c>
      <c r="I21" s="206"/>
      <c r="J21" s="185">
        <f t="shared" si="3"/>
        <v>51.942</v>
      </c>
      <c r="K21" s="163"/>
      <c r="L21" s="163">
        <f t="shared" si="2"/>
        <v>0</v>
      </c>
      <c r="M21" s="250">
        <f>90+89.66</f>
        <v>179.66</v>
      </c>
      <c r="N21" s="235">
        <f t="shared" si="0"/>
        <v>127.71799999999999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332">
        <f t="shared" si="1"/>
        <v>17</v>
      </c>
      <c r="C22" s="337" t="s">
        <v>68</v>
      </c>
      <c r="D22" s="326" t="s">
        <v>111</v>
      </c>
      <c r="E22" s="51" t="s">
        <v>112</v>
      </c>
      <c r="F22" s="124">
        <v>14948.6</v>
      </c>
      <c r="G22" s="160">
        <v>7.72</v>
      </c>
      <c r="H22" s="168">
        <v>1039</v>
      </c>
      <c r="I22" s="206"/>
      <c r="J22" s="185">
        <f t="shared" si="3"/>
        <v>68.574</v>
      </c>
      <c r="K22" s="163"/>
      <c r="L22" s="163">
        <f t="shared" si="2"/>
        <v>0</v>
      </c>
      <c r="M22" s="250">
        <v>153.11</v>
      </c>
      <c r="N22" s="235">
        <f t="shared" si="0"/>
        <v>84.53600000000002</v>
      </c>
      <c r="O22" s="75"/>
      <c r="P22" s="3"/>
    </row>
    <row r="23" spans="2:16" ht="12.75" customHeight="1">
      <c r="B23" s="332">
        <f t="shared" si="1"/>
        <v>18</v>
      </c>
      <c r="C23" s="337" t="s">
        <v>148</v>
      </c>
      <c r="D23" s="326" t="s">
        <v>101</v>
      </c>
      <c r="E23" s="51" t="s">
        <v>149</v>
      </c>
      <c r="F23" s="124">
        <v>8832.7</v>
      </c>
      <c r="G23" s="160">
        <v>8.06</v>
      </c>
      <c r="H23" s="168">
        <v>638</v>
      </c>
      <c r="I23" s="206"/>
      <c r="J23" s="185">
        <f t="shared" si="3"/>
        <v>42.108</v>
      </c>
      <c r="K23" s="163"/>
      <c r="L23" s="163">
        <f t="shared" si="2"/>
        <v>0</v>
      </c>
      <c r="M23" s="250">
        <f>73.66+59.8</f>
        <v>133.45999999999998</v>
      </c>
      <c r="N23" s="235">
        <f t="shared" si="0"/>
        <v>91.35199999999998</v>
      </c>
      <c r="O23" s="75"/>
      <c r="P23" s="3"/>
    </row>
    <row r="24" spans="2:28" ht="12.75" customHeight="1">
      <c r="B24" s="332">
        <f t="shared" si="1"/>
        <v>19</v>
      </c>
      <c r="C24" s="494" t="s">
        <v>59</v>
      </c>
      <c r="D24" s="326" t="s">
        <v>101</v>
      </c>
      <c r="E24" s="52">
        <v>21</v>
      </c>
      <c r="F24" s="124">
        <v>19523.1</v>
      </c>
      <c r="G24" s="165">
        <v>6.7</v>
      </c>
      <c r="H24" s="78">
        <v>1344</v>
      </c>
      <c r="I24" s="207"/>
      <c r="J24" s="185">
        <f t="shared" si="3"/>
        <v>88.704</v>
      </c>
      <c r="K24" s="163"/>
      <c r="L24" s="163">
        <f t="shared" si="2"/>
        <v>0</v>
      </c>
      <c r="M24" s="250">
        <f>52.72+127.06</f>
        <v>179.78</v>
      </c>
      <c r="N24" s="235">
        <f t="shared" si="0"/>
        <v>91.07600000000001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332">
        <f t="shared" si="1"/>
        <v>20</v>
      </c>
      <c r="C25" s="494" t="s">
        <v>104</v>
      </c>
      <c r="D25" s="326" t="s">
        <v>101</v>
      </c>
      <c r="E25" s="52">
        <v>23</v>
      </c>
      <c r="F25" s="131">
        <v>18481.1</v>
      </c>
      <c r="G25" s="160">
        <v>7.1</v>
      </c>
      <c r="H25" s="168">
        <v>1044</v>
      </c>
      <c r="I25" s="206"/>
      <c r="J25" s="185">
        <f t="shared" si="3"/>
        <v>68.904</v>
      </c>
      <c r="K25" s="372"/>
      <c r="L25" s="163">
        <f t="shared" si="2"/>
        <v>0</v>
      </c>
      <c r="M25" s="242">
        <f>93.87+107.89</f>
        <v>201.76</v>
      </c>
      <c r="N25" s="235">
        <f t="shared" si="0"/>
        <v>132.856</v>
      </c>
      <c r="O25" s="75"/>
      <c r="P25" s="3"/>
      <c r="Q25" s="374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332">
        <f t="shared" si="1"/>
        <v>21</v>
      </c>
      <c r="C26" s="494" t="s">
        <v>105</v>
      </c>
      <c r="D26" s="326" t="s">
        <v>101</v>
      </c>
      <c r="E26" s="52">
        <v>25</v>
      </c>
      <c r="F26" s="124">
        <v>18464.4</v>
      </c>
      <c r="G26" s="160">
        <v>7.2</v>
      </c>
      <c r="H26" s="168">
        <v>1378</v>
      </c>
      <c r="I26" s="206"/>
      <c r="J26" s="185">
        <f t="shared" si="3"/>
        <v>90.948</v>
      </c>
      <c r="K26" s="163"/>
      <c r="L26" s="163">
        <f t="shared" si="2"/>
        <v>0</v>
      </c>
      <c r="M26" s="242">
        <f>101.58+109.62</f>
        <v>211.2</v>
      </c>
      <c r="N26" s="235">
        <f t="shared" si="0"/>
        <v>120.252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332">
        <f t="shared" si="1"/>
        <v>22</v>
      </c>
      <c r="C27" s="494" t="s">
        <v>103</v>
      </c>
      <c r="D27" s="324" t="s">
        <v>101</v>
      </c>
      <c r="E27" s="52">
        <v>17</v>
      </c>
      <c r="F27" s="124">
        <v>30266.3</v>
      </c>
      <c r="G27" s="165">
        <v>6.59</v>
      </c>
      <c r="H27" s="78">
        <v>1728</v>
      </c>
      <c r="I27" s="207"/>
      <c r="J27" s="185">
        <f t="shared" si="3"/>
        <v>114.048</v>
      </c>
      <c r="K27" s="163"/>
      <c r="L27" s="163">
        <f t="shared" si="2"/>
        <v>0</v>
      </c>
      <c r="M27" s="242">
        <f>72.26+178.44+82.11</f>
        <v>332.81</v>
      </c>
      <c r="N27" s="235">
        <f t="shared" si="0"/>
        <v>218.762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7" ht="12.75" customHeight="1">
      <c r="B28" s="332">
        <f t="shared" si="1"/>
        <v>23</v>
      </c>
      <c r="C28" s="494" t="s">
        <v>65</v>
      </c>
      <c r="D28" s="324" t="s">
        <v>113</v>
      </c>
      <c r="E28" s="52">
        <v>19</v>
      </c>
      <c r="F28" s="124">
        <v>24146</v>
      </c>
      <c r="G28" s="160">
        <v>6.61</v>
      </c>
      <c r="H28" s="168">
        <v>1599</v>
      </c>
      <c r="I28" s="206"/>
      <c r="J28" s="185">
        <f t="shared" si="3"/>
        <v>105.534</v>
      </c>
      <c r="K28" s="230"/>
      <c r="L28" s="163">
        <f t="shared" si="2"/>
        <v>0</v>
      </c>
      <c r="M28" s="242">
        <f>133.18+103.87</f>
        <v>237.05</v>
      </c>
      <c r="N28" s="235">
        <f t="shared" si="0"/>
        <v>131.51600000000002</v>
      </c>
      <c r="O28" s="75"/>
      <c r="P28" s="3"/>
      <c r="Q28" s="281"/>
    </row>
    <row r="29" spans="2:28" ht="12.75" customHeight="1">
      <c r="B29" s="332">
        <f t="shared" si="1"/>
        <v>24</v>
      </c>
      <c r="C29" s="494" t="s">
        <v>63</v>
      </c>
      <c r="D29" s="326" t="s">
        <v>101</v>
      </c>
      <c r="E29" s="52">
        <v>29</v>
      </c>
      <c r="F29" s="124">
        <v>20258.6</v>
      </c>
      <c r="G29" s="160">
        <v>6.78</v>
      </c>
      <c r="H29" s="168">
        <f>597+745</f>
        <v>1342</v>
      </c>
      <c r="I29" s="185">
        <f aca="true" t="shared" si="4" ref="I29:I46">H29*66/1000</f>
        <v>88.572</v>
      </c>
      <c r="J29" s="160"/>
      <c r="K29" s="373"/>
      <c r="L29" s="163">
        <f t="shared" si="2"/>
        <v>0</v>
      </c>
      <c r="M29" s="240">
        <f>100.56+129.19</f>
        <v>229.75</v>
      </c>
      <c r="N29" s="235">
        <f t="shared" si="0"/>
        <v>141.178</v>
      </c>
      <c r="O29" s="75"/>
      <c r="P29" s="3"/>
      <c r="Q29" s="374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332">
        <f t="shared" si="1"/>
        <v>25</v>
      </c>
      <c r="C30" s="337" t="s">
        <v>55</v>
      </c>
      <c r="D30" s="324" t="s">
        <v>101</v>
      </c>
      <c r="E30" s="52">
        <v>31</v>
      </c>
      <c r="F30" s="124">
        <v>6735.1</v>
      </c>
      <c r="G30" s="160">
        <v>7.01</v>
      </c>
      <c r="H30" s="168">
        <v>446</v>
      </c>
      <c r="I30" s="185">
        <f t="shared" si="4"/>
        <v>29.436</v>
      </c>
      <c r="J30" s="160"/>
      <c r="K30" s="160"/>
      <c r="L30" s="163">
        <f t="shared" si="2"/>
        <v>0</v>
      </c>
      <c r="M30" s="240">
        <v>78.59</v>
      </c>
      <c r="N30" s="235">
        <f t="shared" si="0"/>
        <v>49.154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332">
        <f t="shared" si="1"/>
        <v>26</v>
      </c>
      <c r="C31" s="337" t="s">
        <v>84</v>
      </c>
      <c r="D31" s="324" t="s">
        <v>85</v>
      </c>
      <c r="E31" s="52">
        <v>27</v>
      </c>
      <c r="F31" s="124">
        <v>13989.3</v>
      </c>
      <c r="G31" s="160">
        <v>6.35</v>
      </c>
      <c r="H31" s="168">
        <f>625+576</f>
        <v>1201</v>
      </c>
      <c r="I31" s="185">
        <f t="shared" si="4"/>
        <v>79.266</v>
      </c>
      <c r="J31" s="160"/>
      <c r="K31" s="160"/>
      <c r="L31" s="163">
        <f t="shared" si="2"/>
        <v>0</v>
      </c>
      <c r="M31" s="240">
        <f>70.48+98.88</f>
        <v>169.36</v>
      </c>
      <c r="N31" s="235">
        <f t="shared" si="0"/>
        <v>90.09400000000001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332">
        <f t="shared" si="1"/>
        <v>27</v>
      </c>
      <c r="C32" s="337" t="s">
        <v>2</v>
      </c>
      <c r="D32" s="324" t="s">
        <v>85</v>
      </c>
      <c r="E32" s="52">
        <v>29</v>
      </c>
      <c r="F32" s="124">
        <v>13695.4</v>
      </c>
      <c r="G32" s="160">
        <v>6.44</v>
      </c>
      <c r="H32" s="168">
        <v>1032</v>
      </c>
      <c r="I32" s="185">
        <f t="shared" si="4"/>
        <v>68.112</v>
      </c>
      <c r="J32" s="113"/>
      <c r="K32" s="160"/>
      <c r="L32" s="163">
        <f t="shared" si="2"/>
        <v>0</v>
      </c>
      <c r="M32" s="240">
        <v>182.75</v>
      </c>
      <c r="N32" s="235">
        <f t="shared" si="0"/>
        <v>114.638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332">
        <f t="shared" si="1"/>
        <v>28</v>
      </c>
      <c r="C33" s="337" t="s">
        <v>3</v>
      </c>
      <c r="D33" s="324" t="s">
        <v>85</v>
      </c>
      <c r="E33" s="52">
        <v>31</v>
      </c>
      <c r="F33" s="124">
        <v>6360.3</v>
      </c>
      <c r="G33" s="160">
        <v>8.28</v>
      </c>
      <c r="H33" s="168">
        <v>473</v>
      </c>
      <c r="I33" s="185">
        <f t="shared" si="4"/>
        <v>31.218</v>
      </c>
      <c r="J33" s="113"/>
      <c r="K33" s="160"/>
      <c r="L33" s="163">
        <f t="shared" si="2"/>
        <v>0</v>
      </c>
      <c r="M33" s="240">
        <v>105.69</v>
      </c>
      <c r="N33" s="235">
        <f t="shared" si="0"/>
        <v>74.472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332">
        <f t="shared" si="1"/>
        <v>29</v>
      </c>
      <c r="C34" s="337" t="s">
        <v>4</v>
      </c>
      <c r="D34" s="324" t="s">
        <v>113</v>
      </c>
      <c r="E34" s="52" t="s">
        <v>114</v>
      </c>
      <c r="F34" s="124">
        <v>12946.5</v>
      </c>
      <c r="G34" s="160">
        <v>7.09</v>
      </c>
      <c r="H34" s="168">
        <v>687</v>
      </c>
      <c r="I34" s="185">
        <f t="shared" si="4"/>
        <v>45.342</v>
      </c>
      <c r="J34" s="113"/>
      <c r="K34" s="160"/>
      <c r="L34" s="163">
        <f t="shared" si="2"/>
        <v>0</v>
      </c>
      <c r="M34" s="240">
        <v>160.13</v>
      </c>
      <c r="N34" s="235">
        <f t="shared" si="0"/>
        <v>114.788</v>
      </c>
      <c r="O34" s="75"/>
      <c r="P34" s="3"/>
    </row>
    <row r="35" spans="2:16" ht="12.75" customHeight="1">
      <c r="B35" s="332">
        <f t="shared" si="1"/>
        <v>30</v>
      </c>
      <c r="C35" s="337" t="s">
        <v>5</v>
      </c>
      <c r="D35" s="324" t="s">
        <v>113</v>
      </c>
      <c r="E35" s="52">
        <v>35</v>
      </c>
      <c r="F35" s="124">
        <v>12207.7</v>
      </c>
      <c r="G35" s="160">
        <v>7.12</v>
      </c>
      <c r="H35" s="168">
        <v>712</v>
      </c>
      <c r="I35" s="185">
        <f t="shared" si="4"/>
        <v>46.992</v>
      </c>
      <c r="J35" s="113"/>
      <c r="K35" s="160"/>
      <c r="L35" s="163">
        <f t="shared" si="2"/>
        <v>0</v>
      </c>
      <c r="M35" s="240">
        <v>133.31</v>
      </c>
      <c r="N35" s="235">
        <f t="shared" si="0"/>
        <v>86.31800000000001</v>
      </c>
      <c r="O35" s="75"/>
      <c r="P35" s="3"/>
    </row>
    <row r="36" spans="2:16" ht="12.75" customHeight="1">
      <c r="B36" s="332">
        <f t="shared" si="1"/>
        <v>31</v>
      </c>
      <c r="C36" s="337" t="s">
        <v>6</v>
      </c>
      <c r="D36" s="324" t="s">
        <v>113</v>
      </c>
      <c r="E36" s="52">
        <v>39</v>
      </c>
      <c r="F36" s="124">
        <v>4902.2</v>
      </c>
      <c r="G36" s="160">
        <v>6.51</v>
      </c>
      <c r="H36" s="168">
        <v>339</v>
      </c>
      <c r="I36" s="185">
        <f t="shared" si="4"/>
        <v>22.374</v>
      </c>
      <c r="J36" s="113"/>
      <c r="K36" s="160"/>
      <c r="L36" s="163">
        <f t="shared" si="2"/>
        <v>0</v>
      </c>
      <c r="M36" s="240">
        <v>60.12</v>
      </c>
      <c r="N36" s="235">
        <f t="shared" si="0"/>
        <v>37.745999999999995</v>
      </c>
      <c r="O36" s="75"/>
      <c r="P36" s="3"/>
    </row>
    <row r="37" spans="2:28" ht="12.75" customHeight="1">
      <c r="B37" s="332">
        <f t="shared" si="1"/>
        <v>32</v>
      </c>
      <c r="C37" s="337" t="s">
        <v>64</v>
      </c>
      <c r="D37" s="324" t="s">
        <v>101</v>
      </c>
      <c r="E37" s="52">
        <v>33</v>
      </c>
      <c r="F37" s="124">
        <v>19674.8</v>
      </c>
      <c r="G37" s="160">
        <v>6.92</v>
      </c>
      <c r="H37" s="168">
        <f>649+531</f>
        <v>1180</v>
      </c>
      <c r="I37" s="185">
        <f t="shared" si="4"/>
        <v>77.88</v>
      </c>
      <c r="J37" s="160"/>
      <c r="K37" s="160"/>
      <c r="L37" s="163">
        <f t="shared" si="2"/>
        <v>0</v>
      </c>
      <c r="M37" s="240">
        <f>114.65+117.52</f>
        <v>232.17000000000002</v>
      </c>
      <c r="N37" s="235">
        <f t="shared" si="0"/>
        <v>154.29000000000002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332">
        <f t="shared" si="1"/>
        <v>33</v>
      </c>
      <c r="C38" s="337" t="s">
        <v>7</v>
      </c>
      <c r="D38" s="324" t="s">
        <v>101</v>
      </c>
      <c r="E38" s="52">
        <v>35</v>
      </c>
      <c r="F38" s="124">
        <v>10939</v>
      </c>
      <c r="G38" s="160">
        <v>7.72</v>
      </c>
      <c r="H38" s="168">
        <v>679</v>
      </c>
      <c r="I38" s="185">
        <f t="shared" si="4"/>
        <v>44.814</v>
      </c>
      <c r="J38" s="113"/>
      <c r="K38" s="160"/>
      <c r="L38" s="163">
        <f t="shared" si="2"/>
        <v>0</v>
      </c>
      <c r="M38" s="240">
        <v>156.1</v>
      </c>
      <c r="N38" s="235">
        <f aca="true" t="shared" si="5" ref="N38:N69">M38-I38-J38-L38</f>
        <v>111.286</v>
      </c>
      <c r="O38" s="75"/>
      <c r="P38" s="3"/>
    </row>
    <row r="39" spans="2:28" ht="12.75" customHeight="1">
      <c r="B39" s="332">
        <f t="shared" si="1"/>
        <v>34</v>
      </c>
      <c r="C39" s="337" t="s">
        <v>8</v>
      </c>
      <c r="D39" s="324" t="s">
        <v>85</v>
      </c>
      <c r="E39" s="52">
        <v>33</v>
      </c>
      <c r="F39" s="124">
        <v>6730.4</v>
      </c>
      <c r="G39" s="160">
        <v>8.49</v>
      </c>
      <c r="H39" s="168">
        <v>511</v>
      </c>
      <c r="I39" s="185">
        <f t="shared" si="4"/>
        <v>33.726</v>
      </c>
      <c r="J39" s="113"/>
      <c r="K39" s="160"/>
      <c r="L39" s="163">
        <f t="shared" si="2"/>
        <v>0</v>
      </c>
      <c r="M39" s="240">
        <v>111.23</v>
      </c>
      <c r="N39" s="235">
        <f t="shared" si="5"/>
        <v>77.504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332">
        <f t="shared" si="1"/>
        <v>35</v>
      </c>
      <c r="C40" s="337" t="s">
        <v>9</v>
      </c>
      <c r="D40" s="326" t="s">
        <v>101</v>
      </c>
      <c r="E40" s="52">
        <v>45</v>
      </c>
      <c r="F40" s="124">
        <v>6586.2</v>
      </c>
      <c r="G40" s="164">
        <v>6</v>
      </c>
      <c r="H40" s="211">
        <v>536</v>
      </c>
      <c r="I40" s="185">
        <f t="shared" si="4"/>
        <v>35.376</v>
      </c>
      <c r="J40" s="83"/>
      <c r="K40" s="164"/>
      <c r="L40" s="163">
        <f t="shared" si="2"/>
        <v>0</v>
      </c>
      <c r="M40" s="240">
        <v>100.83</v>
      </c>
      <c r="N40" s="235">
        <f t="shared" si="5"/>
        <v>65.45400000000001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332">
        <f t="shared" si="1"/>
        <v>36</v>
      </c>
      <c r="C41" s="337" t="s">
        <v>10</v>
      </c>
      <c r="D41" s="324" t="s">
        <v>113</v>
      </c>
      <c r="E41" s="52" t="s">
        <v>115</v>
      </c>
      <c r="F41" s="124">
        <v>2378.8</v>
      </c>
      <c r="G41" s="160">
        <v>9.9</v>
      </c>
      <c r="H41" s="168">
        <v>175</v>
      </c>
      <c r="I41" s="185">
        <f t="shared" si="4"/>
        <v>11.55</v>
      </c>
      <c r="J41" s="113"/>
      <c r="K41" s="160"/>
      <c r="L41" s="163">
        <f t="shared" si="2"/>
        <v>0</v>
      </c>
      <c r="M41" s="240">
        <v>45.22</v>
      </c>
      <c r="N41" s="235">
        <f t="shared" si="5"/>
        <v>33.67</v>
      </c>
      <c r="O41" s="75"/>
      <c r="P41" s="3"/>
    </row>
    <row r="42" spans="2:16" ht="12.75" customHeight="1">
      <c r="B42" s="332">
        <f t="shared" si="1"/>
        <v>37</v>
      </c>
      <c r="C42" s="337" t="s">
        <v>178</v>
      </c>
      <c r="D42" s="324" t="s">
        <v>113</v>
      </c>
      <c r="E42" s="52">
        <v>138</v>
      </c>
      <c r="F42" s="131"/>
      <c r="G42" s="160"/>
      <c r="H42" s="168">
        <v>72</v>
      </c>
      <c r="I42" s="185"/>
      <c r="J42" s="185">
        <f>H42*66/1000</f>
        <v>4.752</v>
      </c>
      <c r="K42" s="160"/>
      <c r="L42" s="163">
        <f t="shared" si="2"/>
        <v>0</v>
      </c>
      <c r="M42" s="240">
        <v>23.11</v>
      </c>
      <c r="N42" s="235">
        <f t="shared" si="5"/>
        <v>18.358</v>
      </c>
      <c r="O42" s="75"/>
      <c r="P42" s="3"/>
    </row>
    <row r="43" spans="2:16" ht="12.75" customHeight="1">
      <c r="B43" s="332">
        <f t="shared" si="1"/>
        <v>38</v>
      </c>
      <c r="C43" s="337" t="s">
        <v>179</v>
      </c>
      <c r="D43" s="324" t="s">
        <v>113</v>
      </c>
      <c r="E43" s="52">
        <v>140</v>
      </c>
      <c r="F43" s="131">
        <v>3529.2</v>
      </c>
      <c r="G43" s="160"/>
      <c r="H43" s="168">
        <v>0</v>
      </c>
      <c r="I43" s="185"/>
      <c r="J43" s="185">
        <f>H43*66/1000</f>
        <v>0</v>
      </c>
      <c r="K43" s="160"/>
      <c r="L43" s="163">
        <f t="shared" si="2"/>
        <v>0</v>
      </c>
      <c r="M43" s="240">
        <v>13.87</v>
      </c>
      <c r="N43" s="235">
        <f t="shared" si="5"/>
        <v>13.87</v>
      </c>
      <c r="O43" s="75"/>
      <c r="P43" s="3"/>
    </row>
    <row r="44" spans="2:28" ht="12.75" customHeight="1">
      <c r="B44" s="332">
        <f t="shared" si="1"/>
        <v>39</v>
      </c>
      <c r="C44" s="494" t="s">
        <v>100</v>
      </c>
      <c r="D44" s="324" t="s">
        <v>98</v>
      </c>
      <c r="E44" s="52">
        <v>138</v>
      </c>
      <c r="F44" s="124">
        <v>7175.7</v>
      </c>
      <c r="G44" s="160">
        <v>9.51</v>
      </c>
      <c r="H44" s="168">
        <v>416</v>
      </c>
      <c r="I44" s="185">
        <f t="shared" si="4"/>
        <v>27.456</v>
      </c>
      <c r="J44" s="113"/>
      <c r="K44" s="160"/>
      <c r="L44" s="163">
        <f t="shared" si="2"/>
        <v>0</v>
      </c>
      <c r="M44" s="240">
        <v>99.59</v>
      </c>
      <c r="N44" s="235">
        <f t="shared" si="5"/>
        <v>72.134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2"/>
      <c r="AB44" s="20"/>
    </row>
    <row r="45" spans="2:28" ht="12.75" customHeight="1">
      <c r="B45" s="332">
        <f t="shared" si="1"/>
        <v>40</v>
      </c>
      <c r="C45" s="494" t="s">
        <v>58</v>
      </c>
      <c r="D45" s="327" t="s">
        <v>98</v>
      </c>
      <c r="E45" s="53" t="s">
        <v>99</v>
      </c>
      <c r="F45" s="131">
        <v>4256.7</v>
      </c>
      <c r="G45" s="160">
        <v>8.06</v>
      </c>
      <c r="H45" s="168">
        <v>256</v>
      </c>
      <c r="I45" s="185">
        <f t="shared" si="4"/>
        <v>16.896</v>
      </c>
      <c r="J45" s="160"/>
      <c r="K45" s="160"/>
      <c r="L45" s="163">
        <f t="shared" si="2"/>
        <v>0</v>
      </c>
      <c r="M45" s="280">
        <v>62.92</v>
      </c>
      <c r="N45" s="235">
        <f t="shared" si="5"/>
        <v>46.024</v>
      </c>
      <c r="O45" s="75"/>
      <c r="P45" s="3"/>
      <c r="Q45" s="252"/>
      <c r="R45" s="20"/>
      <c r="S45" s="20"/>
      <c r="T45" s="20"/>
      <c r="U45" s="20"/>
      <c r="V45" s="20"/>
      <c r="W45" s="20"/>
      <c r="X45" s="20"/>
      <c r="Y45" s="20"/>
      <c r="Z45" s="20"/>
      <c r="AA45" s="22"/>
      <c r="AB45" s="20"/>
    </row>
    <row r="46" spans="2:28" ht="12.75" customHeight="1">
      <c r="B46" s="332">
        <f t="shared" si="1"/>
        <v>41</v>
      </c>
      <c r="C46" s="494" t="s">
        <v>12</v>
      </c>
      <c r="D46" s="324" t="s">
        <v>75</v>
      </c>
      <c r="E46" s="52">
        <v>59</v>
      </c>
      <c r="F46" s="124">
        <v>5797</v>
      </c>
      <c r="G46" s="160">
        <v>8.87</v>
      </c>
      <c r="H46" s="168">
        <v>421</v>
      </c>
      <c r="I46" s="185">
        <f t="shared" si="4"/>
        <v>27.786</v>
      </c>
      <c r="J46" s="161"/>
      <c r="K46" s="160"/>
      <c r="L46" s="163">
        <f t="shared" si="2"/>
        <v>0</v>
      </c>
      <c r="M46" s="240">
        <v>102.94</v>
      </c>
      <c r="N46" s="235">
        <f t="shared" si="5"/>
        <v>75.154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332">
        <f t="shared" si="1"/>
        <v>42</v>
      </c>
      <c r="C47" s="494" t="s">
        <v>134</v>
      </c>
      <c r="D47" s="324" t="s">
        <v>75</v>
      </c>
      <c r="E47" s="52" t="s">
        <v>115</v>
      </c>
      <c r="F47" s="124">
        <v>5325.4</v>
      </c>
      <c r="G47" s="160">
        <v>8.06</v>
      </c>
      <c r="H47" s="168">
        <v>309</v>
      </c>
      <c r="I47" s="206"/>
      <c r="J47" s="185">
        <f>H47*66/1000</f>
        <v>20.394</v>
      </c>
      <c r="K47" s="163"/>
      <c r="L47" s="163">
        <f t="shared" si="2"/>
        <v>0</v>
      </c>
      <c r="M47" s="240">
        <v>72.61</v>
      </c>
      <c r="N47" s="235">
        <f t="shared" si="5"/>
        <v>52.216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2"/>
      <c r="AB47" s="20"/>
    </row>
    <row r="48" spans="2:28" ht="12.75" customHeight="1">
      <c r="B48" s="332">
        <f t="shared" si="1"/>
        <v>43</v>
      </c>
      <c r="C48" s="494" t="s">
        <v>13</v>
      </c>
      <c r="D48" s="324" t="s">
        <v>76</v>
      </c>
      <c r="E48" s="52">
        <v>5</v>
      </c>
      <c r="F48" s="124">
        <v>11675.3</v>
      </c>
      <c r="G48" s="160">
        <v>6.93</v>
      </c>
      <c r="H48" s="168">
        <v>975</v>
      </c>
      <c r="I48" s="185">
        <f aca="true" t="shared" si="6" ref="I48:I54">H48*66/1000</f>
        <v>64.35</v>
      </c>
      <c r="J48" s="113"/>
      <c r="K48" s="160"/>
      <c r="L48" s="163">
        <f t="shared" si="2"/>
        <v>0</v>
      </c>
      <c r="M48" s="240">
        <v>157.63</v>
      </c>
      <c r="N48" s="235">
        <f t="shared" si="5"/>
        <v>93.28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1"/>
      <c r="AA48" s="22"/>
      <c r="AB48" s="20"/>
    </row>
    <row r="49" spans="2:28" ht="12.75" customHeight="1">
      <c r="B49" s="332">
        <f t="shared" si="1"/>
        <v>44</v>
      </c>
      <c r="C49" s="494" t="s">
        <v>14</v>
      </c>
      <c r="D49" s="324" t="s">
        <v>76</v>
      </c>
      <c r="E49" s="52" t="s">
        <v>77</v>
      </c>
      <c r="F49" s="124">
        <v>3803.7</v>
      </c>
      <c r="G49" s="160">
        <v>8.71</v>
      </c>
      <c r="H49" s="168">
        <v>285</v>
      </c>
      <c r="I49" s="185">
        <f t="shared" si="6"/>
        <v>18.81</v>
      </c>
      <c r="J49" s="113"/>
      <c r="K49" s="160"/>
      <c r="L49" s="163">
        <f t="shared" si="2"/>
        <v>0</v>
      </c>
      <c r="M49" s="240">
        <v>71.52</v>
      </c>
      <c r="N49" s="235">
        <f t="shared" si="5"/>
        <v>52.709999999999994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332">
        <f t="shared" si="1"/>
        <v>45</v>
      </c>
      <c r="C50" s="494" t="s">
        <v>15</v>
      </c>
      <c r="D50" s="324" t="s">
        <v>86</v>
      </c>
      <c r="E50" s="52" t="s">
        <v>87</v>
      </c>
      <c r="F50" s="124">
        <v>13733.1</v>
      </c>
      <c r="G50" s="160">
        <v>7.56</v>
      </c>
      <c r="H50" s="168">
        <v>1063</v>
      </c>
      <c r="I50" s="185">
        <f t="shared" si="6"/>
        <v>70.158</v>
      </c>
      <c r="J50" s="160"/>
      <c r="K50" s="160"/>
      <c r="L50" s="163">
        <f t="shared" si="2"/>
        <v>0</v>
      </c>
      <c r="M50" s="240">
        <v>183.15</v>
      </c>
      <c r="N50" s="235">
        <f t="shared" si="5"/>
        <v>112.992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332">
        <f t="shared" si="1"/>
        <v>46</v>
      </c>
      <c r="C51" s="494" t="s">
        <v>90</v>
      </c>
      <c r="D51" s="324" t="s">
        <v>86</v>
      </c>
      <c r="E51" s="52" t="s">
        <v>91</v>
      </c>
      <c r="F51" s="124">
        <v>8981.6</v>
      </c>
      <c r="G51" s="160">
        <v>7.48</v>
      </c>
      <c r="H51" s="168">
        <v>628</v>
      </c>
      <c r="I51" s="185">
        <f t="shared" si="6"/>
        <v>41.448</v>
      </c>
      <c r="J51" s="160"/>
      <c r="K51" s="160"/>
      <c r="L51" s="163">
        <f t="shared" si="2"/>
        <v>0</v>
      </c>
      <c r="M51" s="240">
        <v>146.21</v>
      </c>
      <c r="N51" s="235">
        <f t="shared" si="5"/>
        <v>104.762</v>
      </c>
      <c r="O51" s="75"/>
      <c r="P51" s="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28" ht="12.75" customHeight="1">
      <c r="B52" s="332">
        <f t="shared" si="1"/>
        <v>47</v>
      </c>
      <c r="C52" s="494" t="s">
        <v>88</v>
      </c>
      <c r="D52" s="324" t="s">
        <v>86</v>
      </c>
      <c r="E52" s="52" t="s">
        <v>89</v>
      </c>
      <c r="F52" s="124">
        <v>4789.4</v>
      </c>
      <c r="G52" s="160">
        <v>7.44</v>
      </c>
      <c r="H52" s="168">
        <v>338</v>
      </c>
      <c r="I52" s="185">
        <f t="shared" si="6"/>
        <v>22.308</v>
      </c>
      <c r="J52" s="113"/>
      <c r="K52" s="160"/>
      <c r="L52" s="163">
        <f t="shared" si="2"/>
        <v>0</v>
      </c>
      <c r="M52" s="240">
        <v>78.15</v>
      </c>
      <c r="N52" s="235">
        <f t="shared" si="5"/>
        <v>55.842000000000006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</row>
    <row r="53" spans="2:28" ht="12.75" customHeight="1">
      <c r="B53" s="332">
        <f t="shared" si="1"/>
        <v>48</v>
      </c>
      <c r="C53" s="494" t="s">
        <v>92</v>
      </c>
      <c r="D53" s="324" t="s">
        <v>86</v>
      </c>
      <c r="E53" s="52" t="s">
        <v>93</v>
      </c>
      <c r="F53" s="124">
        <v>5273.8</v>
      </c>
      <c r="G53" s="160">
        <v>6.64</v>
      </c>
      <c r="H53" s="168">
        <v>397</v>
      </c>
      <c r="I53" s="185">
        <f t="shared" si="6"/>
        <v>26.202</v>
      </c>
      <c r="J53" s="113"/>
      <c r="K53" s="160"/>
      <c r="L53" s="163">
        <f t="shared" si="2"/>
        <v>0</v>
      </c>
      <c r="M53" s="200">
        <v>85.21</v>
      </c>
      <c r="N53" s="235">
        <f t="shared" si="5"/>
        <v>59.007999999999996</v>
      </c>
      <c r="O53" s="75"/>
      <c r="P53" s="3"/>
      <c r="Q53" s="252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</row>
    <row r="54" spans="2:31" ht="12.75" customHeight="1">
      <c r="B54" s="332">
        <f t="shared" si="1"/>
        <v>49</v>
      </c>
      <c r="C54" s="494" t="s">
        <v>19</v>
      </c>
      <c r="D54" s="324" t="s">
        <v>83</v>
      </c>
      <c r="E54" s="52">
        <v>108</v>
      </c>
      <c r="F54" s="124">
        <v>11125.8</v>
      </c>
      <c r="G54" s="160">
        <v>6.91</v>
      </c>
      <c r="H54" s="168">
        <v>878</v>
      </c>
      <c r="I54" s="185">
        <f t="shared" si="6"/>
        <v>57.948</v>
      </c>
      <c r="J54" s="113"/>
      <c r="K54" s="160"/>
      <c r="L54" s="163">
        <f t="shared" si="2"/>
        <v>0</v>
      </c>
      <c r="M54" s="240">
        <v>161.06</v>
      </c>
      <c r="N54" s="235">
        <f t="shared" si="5"/>
        <v>103.112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332">
        <f t="shared" si="1"/>
        <v>50</v>
      </c>
      <c r="C55" s="337" t="s">
        <v>70</v>
      </c>
      <c r="D55" s="324" t="s">
        <v>83</v>
      </c>
      <c r="E55" s="52">
        <v>120</v>
      </c>
      <c r="F55" s="124">
        <v>6713.5</v>
      </c>
      <c r="G55" s="160">
        <v>8.04</v>
      </c>
      <c r="H55" s="168">
        <v>436</v>
      </c>
      <c r="I55" s="206"/>
      <c r="J55" s="185">
        <f>H55*66/1000</f>
        <v>28.776</v>
      </c>
      <c r="K55" s="163"/>
      <c r="L55" s="163">
        <f t="shared" si="2"/>
        <v>0</v>
      </c>
      <c r="M55" s="240">
        <v>69.9</v>
      </c>
      <c r="N55" s="235">
        <f t="shared" si="5"/>
        <v>41.12400000000001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31" ht="12.75" customHeight="1">
      <c r="B56" s="332">
        <f t="shared" si="1"/>
        <v>51</v>
      </c>
      <c r="C56" s="337" t="s">
        <v>135</v>
      </c>
      <c r="D56" s="324" t="s">
        <v>83</v>
      </c>
      <c r="E56" s="52">
        <v>124</v>
      </c>
      <c r="F56" s="124">
        <v>6718.7</v>
      </c>
      <c r="G56" s="160">
        <v>6.48</v>
      </c>
      <c r="H56" s="168">
        <v>369</v>
      </c>
      <c r="I56" s="206"/>
      <c r="J56" s="185">
        <f>H56*66/1000</f>
        <v>24.354</v>
      </c>
      <c r="K56" s="163"/>
      <c r="L56" s="163">
        <f t="shared" si="2"/>
        <v>0</v>
      </c>
      <c r="M56" s="240">
        <v>82.84</v>
      </c>
      <c r="N56" s="235">
        <f t="shared" si="5"/>
        <v>58.486000000000004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0"/>
      <c r="AE56" s="1"/>
    </row>
    <row r="57" spans="2:31" ht="12.75" customHeight="1">
      <c r="B57" s="332">
        <f t="shared" si="1"/>
        <v>52</v>
      </c>
      <c r="C57" s="337" t="s">
        <v>136</v>
      </c>
      <c r="D57" s="324" t="s">
        <v>83</v>
      </c>
      <c r="E57" s="52">
        <v>128</v>
      </c>
      <c r="F57" s="124">
        <v>6706.5</v>
      </c>
      <c r="G57" s="160">
        <v>6.48</v>
      </c>
      <c r="H57" s="168">
        <v>397</v>
      </c>
      <c r="I57" s="206"/>
      <c r="J57" s="185">
        <f>H57*66/1000</f>
        <v>26.202</v>
      </c>
      <c r="K57" s="163"/>
      <c r="L57" s="163">
        <f t="shared" si="2"/>
        <v>0</v>
      </c>
      <c r="M57" s="240">
        <v>79.28</v>
      </c>
      <c r="N57" s="235">
        <f t="shared" si="5"/>
        <v>53.078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0"/>
      <c r="AE57" s="1"/>
    </row>
    <row r="58" spans="2:31" ht="12.75" customHeight="1">
      <c r="B58" s="332">
        <f t="shared" si="1"/>
        <v>53</v>
      </c>
      <c r="C58" s="337" t="s">
        <v>169</v>
      </c>
      <c r="D58" s="324" t="s">
        <v>83</v>
      </c>
      <c r="E58" s="52">
        <v>130</v>
      </c>
      <c r="F58" s="124">
        <v>6708.8</v>
      </c>
      <c r="G58" s="160">
        <v>6.48</v>
      </c>
      <c r="H58" s="168">
        <v>304</v>
      </c>
      <c r="I58" s="205"/>
      <c r="J58" s="185">
        <f>H58*66/1000</f>
        <v>20.064</v>
      </c>
      <c r="K58" s="163"/>
      <c r="L58" s="163"/>
      <c r="M58" s="240">
        <v>78.11</v>
      </c>
      <c r="N58" s="235">
        <f t="shared" si="5"/>
        <v>58.046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  <c r="AE58" s="1"/>
    </row>
    <row r="59" spans="2:28" ht="12.75" customHeight="1">
      <c r="B59" s="332">
        <f t="shared" si="1"/>
        <v>54</v>
      </c>
      <c r="C59" s="337" t="s">
        <v>20</v>
      </c>
      <c r="D59" s="324" t="s">
        <v>83</v>
      </c>
      <c r="E59" s="52">
        <v>110</v>
      </c>
      <c r="F59" s="124">
        <v>11638.3</v>
      </c>
      <c r="G59" s="160">
        <v>7.26</v>
      </c>
      <c r="H59" s="168">
        <v>671</v>
      </c>
      <c r="I59" s="185">
        <f aca="true" t="shared" si="7" ref="I59:I65">H59*66/1000</f>
        <v>44.286</v>
      </c>
      <c r="J59" s="113"/>
      <c r="K59" s="160"/>
      <c r="L59" s="163">
        <f t="shared" si="2"/>
        <v>0</v>
      </c>
      <c r="M59" s="240">
        <v>152.93</v>
      </c>
      <c r="N59" s="235">
        <f t="shared" si="5"/>
        <v>108.644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332">
        <f t="shared" si="1"/>
        <v>55</v>
      </c>
      <c r="C60" s="337" t="s">
        <v>21</v>
      </c>
      <c r="D60" s="324" t="s">
        <v>83</v>
      </c>
      <c r="E60" s="52">
        <v>114</v>
      </c>
      <c r="F60" s="124">
        <v>9185</v>
      </c>
      <c r="G60" s="160">
        <v>7.06</v>
      </c>
      <c r="H60" s="168">
        <v>636</v>
      </c>
      <c r="I60" s="185">
        <f t="shared" si="7"/>
        <v>41.976</v>
      </c>
      <c r="J60" s="113"/>
      <c r="K60" s="160"/>
      <c r="L60" s="163">
        <f t="shared" si="2"/>
        <v>0</v>
      </c>
      <c r="M60" s="240">
        <v>117.52</v>
      </c>
      <c r="N60" s="235">
        <f t="shared" si="5"/>
        <v>75.544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3"/>
    </row>
    <row r="61" spans="2:28" ht="12.75" customHeight="1">
      <c r="B61" s="332">
        <f t="shared" si="1"/>
        <v>56</v>
      </c>
      <c r="C61" s="337" t="s">
        <v>22</v>
      </c>
      <c r="D61" s="324" t="s">
        <v>83</v>
      </c>
      <c r="E61" s="52">
        <v>118</v>
      </c>
      <c r="F61" s="124">
        <v>9190.4</v>
      </c>
      <c r="G61" s="160">
        <v>7.09</v>
      </c>
      <c r="H61" s="168">
        <v>590</v>
      </c>
      <c r="I61" s="185">
        <f t="shared" si="7"/>
        <v>38.94</v>
      </c>
      <c r="J61" s="113"/>
      <c r="K61" s="160"/>
      <c r="L61" s="163">
        <f t="shared" si="2"/>
        <v>0</v>
      </c>
      <c r="M61" s="240">
        <v>115.7</v>
      </c>
      <c r="N61" s="235">
        <f t="shared" si="5"/>
        <v>76.76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0"/>
    </row>
    <row r="62" spans="2:28" ht="12.75" customHeight="1">
      <c r="B62" s="332">
        <f t="shared" si="1"/>
        <v>57</v>
      </c>
      <c r="C62" s="337" t="s">
        <v>23</v>
      </c>
      <c r="D62" s="324" t="s">
        <v>83</v>
      </c>
      <c r="E62" s="52">
        <v>122</v>
      </c>
      <c r="F62" s="124">
        <v>9187.9</v>
      </c>
      <c r="G62" s="160">
        <v>5.76</v>
      </c>
      <c r="H62" s="168">
        <v>677</v>
      </c>
      <c r="I62" s="185">
        <f t="shared" si="7"/>
        <v>44.682</v>
      </c>
      <c r="J62" s="113"/>
      <c r="K62" s="160"/>
      <c r="L62" s="163">
        <f t="shared" si="2"/>
        <v>0</v>
      </c>
      <c r="M62" s="240">
        <v>87.6</v>
      </c>
      <c r="N62" s="235">
        <f t="shared" si="5"/>
        <v>42.91799999999999</v>
      </c>
      <c r="O62" s="75"/>
      <c r="P62" s="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3"/>
    </row>
    <row r="63" spans="2:28" ht="12.75" customHeight="1">
      <c r="B63" s="332">
        <f t="shared" si="1"/>
        <v>58</v>
      </c>
      <c r="C63" s="337" t="s">
        <v>24</v>
      </c>
      <c r="D63" s="324" t="s">
        <v>83</v>
      </c>
      <c r="E63" s="52">
        <v>126</v>
      </c>
      <c r="F63" s="124">
        <v>9187.1</v>
      </c>
      <c r="G63" s="160">
        <v>6.36</v>
      </c>
      <c r="H63" s="168">
        <v>688</v>
      </c>
      <c r="I63" s="185">
        <f t="shared" si="7"/>
        <v>45.408</v>
      </c>
      <c r="J63" s="113"/>
      <c r="K63" s="160"/>
      <c r="L63" s="163">
        <f t="shared" si="2"/>
        <v>0</v>
      </c>
      <c r="M63" s="240">
        <v>120.14</v>
      </c>
      <c r="N63" s="235">
        <f t="shared" si="5"/>
        <v>74.732</v>
      </c>
      <c r="O63" s="75"/>
      <c r="P63" s="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</row>
    <row r="64" spans="2:28" ht="12.75" customHeight="1">
      <c r="B64" s="332">
        <f t="shared" si="1"/>
        <v>59</v>
      </c>
      <c r="C64" s="337" t="s">
        <v>81</v>
      </c>
      <c r="D64" s="324" t="s">
        <v>79</v>
      </c>
      <c r="E64" s="52" t="s">
        <v>82</v>
      </c>
      <c r="F64" s="124">
        <v>6886.8</v>
      </c>
      <c r="G64" s="160">
        <v>6.76</v>
      </c>
      <c r="H64" s="168">
        <v>450</v>
      </c>
      <c r="I64" s="185">
        <f t="shared" si="7"/>
        <v>29.7</v>
      </c>
      <c r="J64" s="113"/>
      <c r="K64" s="160"/>
      <c r="L64" s="163">
        <f t="shared" si="2"/>
        <v>0</v>
      </c>
      <c r="M64" s="160">
        <v>75.01</v>
      </c>
      <c r="N64" s="235">
        <f t="shared" si="5"/>
        <v>45.31</v>
      </c>
      <c r="O64" s="75"/>
      <c r="P64" s="3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3"/>
    </row>
    <row r="65" spans="2:32" ht="14.25" customHeight="1" thickBot="1">
      <c r="B65" s="332">
        <f t="shared" si="1"/>
        <v>60</v>
      </c>
      <c r="C65" s="338" t="s">
        <v>78</v>
      </c>
      <c r="D65" s="328" t="s">
        <v>79</v>
      </c>
      <c r="E65" s="142" t="s">
        <v>80</v>
      </c>
      <c r="F65" s="129">
        <v>4261.1</v>
      </c>
      <c r="G65" s="173">
        <v>9.62</v>
      </c>
      <c r="H65" s="169">
        <v>254</v>
      </c>
      <c r="I65" s="185">
        <f t="shared" si="7"/>
        <v>16.764</v>
      </c>
      <c r="J65" s="113"/>
      <c r="K65" s="173"/>
      <c r="L65" s="163">
        <f t="shared" si="2"/>
        <v>0</v>
      </c>
      <c r="M65" s="251">
        <v>54.77</v>
      </c>
      <c r="N65" s="235">
        <f t="shared" si="5"/>
        <v>38.006</v>
      </c>
      <c r="O65" s="76"/>
      <c r="P65" s="2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2"/>
      <c r="AB65" s="20"/>
      <c r="AF65" s="1"/>
    </row>
    <row r="66" spans="2:32" ht="14.25" customHeight="1">
      <c r="B66" s="332">
        <f t="shared" si="1"/>
        <v>61</v>
      </c>
      <c r="C66" s="338" t="s">
        <v>144</v>
      </c>
      <c r="D66" s="328" t="s">
        <v>101</v>
      </c>
      <c r="E66" s="142">
        <v>32</v>
      </c>
      <c r="F66" s="124">
        <v>28893.1</v>
      </c>
      <c r="G66" s="173">
        <v>8.06</v>
      </c>
      <c r="H66" s="169">
        <v>814</v>
      </c>
      <c r="I66" s="208"/>
      <c r="J66" s="185">
        <f>H66*66/1000</f>
        <v>53.724</v>
      </c>
      <c r="K66" s="228"/>
      <c r="L66" s="163">
        <f t="shared" si="2"/>
        <v>0</v>
      </c>
      <c r="M66" s="173">
        <f>179.13+159.92</f>
        <v>339.04999999999995</v>
      </c>
      <c r="N66" s="235">
        <f t="shared" si="5"/>
        <v>285.32599999999996</v>
      </c>
      <c r="O66" s="145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2"/>
      <c r="AB66" s="20"/>
      <c r="AF66" s="1"/>
    </row>
    <row r="67" spans="2:32" ht="14.25" customHeight="1">
      <c r="B67" s="332">
        <f t="shared" si="1"/>
        <v>62</v>
      </c>
      <c r="C67" s="337" t="s">
        <v>145</v>
      </c>
      <c r="D67" s="324" t="s">
        <v>101</v>
      </c>
      <c r="E67" s="52">
        <v>36</v>
      </c>
      <c r="F67" s="129">
        <v>14015.8</v>
      </c>
      <c r="G67" s="160">
        <v>8.06</v>
      </c>
      <c r="H67" s="168">
        <v>403</v>
      </c>
      <c r="I67" s="206"/>
      <c r="J67" s="185">
        <f>H67*66/1000</f>
        <v>26.598</v>
      </c>
      <c r="K67" s="163"/>
      <c r="L67" s="163">
        <f t="shared" si="2"/>
        <v>0</v>
      </c>
      <c r="M67" s="240">
        <v>151.03</v>
      </c>
      <c r="N67" s="250">
        <f t="shared" si="5"/>
        <v>124.432</v>
      </c>
      <c r="O67" s="145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2"/>
      <c r="AB67" s="20"/>
      <c r="AF67" s="1"/>
    </row>
    <row r="68" spans="2:32" ht="14.25" customHeight="1">
      <c r="B68" s="332">
        <f t="shared" si="1"/>
        <v>63</v>
      </c>
      <c r="C68" s="337" t="s">
        <v>170</v>
      </c>
      <c r="D68" s="324" t="s">
        <v>171</v>
      </c>
      <c r="E68" s="52">
        <v>7</v>
      </c>
      <c r="F68" s="124">
        <v>12672.5</v>
      </c>
      <c r="G68" s="160">
        <v>8.06</v>
      </c>
      <c r="H68" s="168">
        <v>698</v>
      </c>
      <c r="I68" s="206"/>
      <c r="J68" s="185">
        <f>H68*66/1000</f>
        <v>46.068</v>
      </c>
      <c r="K68" s="163"/>
      <c r="L68" s="163"/>
      <c r="M68" s="240">
        <f>101.43+75.11</f>
        <v>176.54000000000002</v>
      </c>
      <c r="N68" s="250">
        <f t="shared" si="5"/>
        <v>130.47200000000004</v>
      </c>
      <c r="O68" s="145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2"/>
      <c r="AB68" s="20"/>
      <c r="AF68" s="1"/>
    </row>
    <row r="69" spans="2:32" ht="14.25" customHeight="1" thickBot="1">
      <c r="B69" s="332">
        <f t="shared" si="1"/>
        <v>64</v>
      </c>
      <c r="C69" s="339" t="s">
        <v>172</v>
      </c>
      <c r="D69" s="329" t="s">
        <v>173</v>
      </c>
      <c r="E69" s="317">
        <v>5</v>
      </c>
      <c r="F69" s="318">
        <v>11094.5</v>
      </c>
      <c r="G69" s="493">
        <v>8.06</v>
      </c>
      <c r="H69" s="319">
        <v>546</v>
      </c>
      <c r="I69" s="320"/>
      <c r="J69" s="185">
        <f>H69*66/1000</f>
        <v>36.036</v>
      </c>
      <c r="K69" s="321"/>
      <c r="L69" s="321"/>
      <c r="M69" s="322">
        <v>122.46</v>
      </c>
      <c r="N69" s="250">
        <f t="shared" si="5"/>
        <v>86.42399999999999</v>
      </c>
      <c r="O69" s="145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2"/>
      <c r="AB69" s="20"/>
      <c r="AF69" s="1"/>
    </row>
    <row r="70" spans="2:14" ht="13.5" thickBot="1">
      <c r="B70" s="85"/>
      <c r="C70" s="10"/>
      <c r="D70" s="10"/>
      <c r="E70" s="8"/>
      <c r="F70" s="156">
        <f>SUM(F6:F69)</f>
        <v>633459.5000000001</v>
      </c>
      <c r="G70" s="79"/>
      <c r="H70" s="212"/>
      <c r="I70" s="156">
        <f aca="true" t="shared" si="8" ref="I70:N70">SUM(I6:I69)</f>
        <v>1435.698</v>
      </c>
      <c r="J70" s="156">
        <f t="shared" si="8"/>
        <v>1132.296</v>
      </c>
      <c r="K70" s="156">
        <f t="shared" si="8"/>
        <v>0</v>
      </c>
      <c r="L70" s="156">
        <f t="shared" si="8"/>
        <v>0</v>
      </c>
      <c r="M70" s="156">
        <f t="shared" si="8"/>
        <v>7736.9800000000005</v>
      </c>
      <c r="N70" s="245">
        <f t="shared" si="8"/>
        <v>5168.986000000001</v>
      </c>
    </row>
    <row r="71" ht="12.75">
      <c r="F71" s="67"/>
    </row>
    <row r="73" ht="12.75">
      <c r="G73" s="40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4" sqref="C24:C28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175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180</v>
      </c>
      <c r="J5" s="182" t="s">
        <v>156</v>
      </c>
      <c r="K5" s="182" t="s">
        <v>163</v>
      </c>
      <c r="L5" s="183" t="s">
        <v>164</v>
      </c>
      <c r="M5" s="182" t="s">
        <v>165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331">
        <v>1</v>
      </c>
      <c r="C6" s="333" t="s">
        <v>131</v>
      </c>
      <c r="D6" s="323" t="s">
        <v>98</v>
      </c>
      <c r="E6" s="46" t="s">
        <v>138</v>
      </c>
      <c r="F6" s="122">
        <v>6457.6</v>
      </c>
      <c r="G6" s="216">
        <v>7.39</v>
      </c>
      <c r="H6" s="193">
        <f>285+158</f>
        <v>443</v>
      </c>
      <c r="I6" s="185">
        <f>H6*66.132/1000</f>
        <v>29.296476000000002</v>
      </c>
      <c r="J6" s="158"/>
      <c r="K6" s="162"/>
      <c r="L6" s="158"/>
      <c r="M6" s="235">
        <f>27.77+17.84</f>
        <v>45.61</v>
      </c>
      <c r="N6" s="235">
        <f aca="true" t="shared" si="0" ref="N6:N37">M6-I6-J6-L6</f>
        <v>16.313523999999997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332">
        <f aca="true" t="shared" si="1" ref="B7:B38">B6+1</f>
        <v>2</v>
      </c>
      <c r="C7" s="334" t="s">
        <v>132</v>
      </c>
      <c r="D7" s="324" t="s">
        <v>98</v>
      </c>
      <c r="E7" s="52">
        <v>79</v>
      </c>
      <c r="F7" s="124">
        <v>12688.5</v>
      </c>
      <c r="G7" s="163">
        <v>8.06</v>
      </c>
      <c r="H7" s="166">
        <f>490+292</f>
        <v>782</v>
      </c>
      <c r="I7" s="185">
        <f>H7*66.132/1000</f>
        <v>51.715224</v>
      </c>
      <c r="J7" s="82"/>
      <c r="K7" s="163"/>
      <c r="L7" s="185">
        <f aca="true" t="shared" si="2" ref="L7:L65">K7*66.132/1000</f>
        <v>0</v>
      </c>
      <c r="M7" s="250">
        <f>50.36+33.18</f>
        <v>83.53999999999999</v>
      </c>
      <c r="N7" s="235">
        <f t="shared" si="0"/>
        <v>31.824775999999993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332">
        <f t="shared" si="1"/>
        <v>3</v>
      </c>
      <c r="C8" s="334" t="s">
        <v>133</v>
      </c>
      <c r="D8" s="325" t="s">
        <v>94</v>
      </c>
      <c r="E8" s="52" t="s">
        <v>137</v>
      </c>
      <c r="F8" s="124">
        <v>11181.7</v>
      </c>
      <c r="G8" s="163">
        <v>8.06</v>
      </c>
      <c r="H8" s="166">
        <v>521</v>
      </c>
      <c r="I8" s="185"/>
      <c r="J8" s="185">
        <f>H8*66.132/1000</f>
        <v>34.454772000000006</v>
      </c>
      <c r="K8" s="163"/>
      <c r="L8" s="185">
        <f t="shared" si="2"/>
        <v>0</v>
      </c>
      <c r="M8" s="250">
        <f>19.81+24.44</f>
        <v>44.25</v>
      </c>
      <c r="N8" s="235">
        <f t="shared" si="0"/>
        <v>9.795227999999994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332">
        <f t="shared" si="1"/>
        <v>4</v>
      </c>
      <c r="C9" s="335" t="s">
        <v>71</v>
      </c>
      <c r="D9" s="325" t="s">
        <v>94</v>
      </c>
      <c r="E9" s="64" t="s">
        <v>95</v>
      </c>
      <c r="F9" s="155">
        <v>10509.4</v>
      </c>
      <c r="G9" s="159">
        <v>8.01</v>
      </c>
      <c r="H9" s="167">
        <v>263</v>
      </c>
      <c r="I9" s="205"/>
      <c r="J9" s="185">
        <f>H9*66.132/1000</f>
        <v>17.392716</v>
      </c>
      <c r="K9" s="162"/>
      <c r="L9" s="185">
        <f t="shared" si="2"/>
        <v>0</v>
      </c>
      <c r="M9" s="237">
        <f>20.16+13.7</f>
        <v>33.86</v>
      </c>
      <c r="N9" s="235">
        <f t="shared" si="0"/>
        <v>16.467284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332">
        <f t="shared" si="1"/>
        <v>5</v>
      </c>
      <c r="C10" s="336" t="s">
        <v>1</v>
      </c>
      <c r="D10" s="324" t="s">
        <v>96</v>
      </c>
      <c r="E10" s="47" t="s">
        <v>97</v>
      </c>
      <c r="F10" s="155">
        <v>9045.5</v>
      </c>
      <c r="G10" s="160">
        <v>6.8</v>
      </c>
      <c r="H10" s="167">
        <f>216+122</f>
        <v>338</v>
      </c>
      <c r="I10" s="185">
        <f>H10*66.132/1000</f>
        <v>22.352616</v>
      </c>
      <c r="J10" s="115"/>
      <c r="K10" s="159"/>
      <c r="L10" s="185">
        <f t="shared" si="2"/>
        <v>0</v>
      </c>
      <c r="M10" s="237">
        <f>23.15+12.08</f>
        <v>35.23</v>
      </c>
      <c r="N10" s="235">
        <f t="shared" si="0"/>
        <v>12.877383999999996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332">
        <f t="shared" si="1"/>
        <v>6</v>
      </c>
      <c r="C11" s="337" t="s">
        <v>107</v>
      </c>
      <c r="D11" s="324" t="s">
        <v>108</v>
      </c>
      <c r="E11" s="47">
        <v>45</v>
      </c>
      <c r="F11" s="129">
        <v>7179.6</v>
      </c>
      <c r="G11" s="164">
        <v>7.83</v>
      </c>
      <c r="H11" s="211">
        <f>127+56</f>
        <v>183</v>
      </c>
      <c r="I11" s="185">
        <f>H11*66.132/1000</f>
        <v>12.102156</v>
      </c>
      <c r="J11" s="83"/>
      <c r="K11" s="164"/>
      <c r="L11" s="185">
        <f t="shared" si="2"/>
        <v>0</v>
      </c>
      <c r="M11" s="250">
        <f>22.19+13.35</f>
        <v>35.54</v>
      </c>
      <c r="N11" s="235">
        <f t="shared" si="0"/>
        <v>23.437844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332">
        <f t="shared" si="1"/>
        <v>7</v>
      </c>
      <c r="C12" s="337" t="s">
        <v>109</v>
      </c>
      <c r="D12" s="324" t="s">
        <v>108</v>
      </c>
      <c r="E12" s="47" t="s">
        <v>110</v>
      </c>
      <c r="F12" s="124">
        <v>7003.6</v>
      </c>
      <c r="G12" s="164">
        <v>7.47</v>
      </c>
      <c r="H12" s="211">
        <f>133+84</f>
        <v>217</v>
      </c>
      <c r="I12" s="185">
        <f>H12*66.132/1000</f>
        <v>14.350644</v>
      </c>
      <c r="J12" s="83"/>
      <c r="K12" s="164"/>
      <c r="L12" s="185">
        <f t="shared" si="2"/>
        <v>0</v>
      </c>
      <c r="M12" s="250">
        <f>19.31+12.76</f>
        <v>32.07</v>
      </c>
      <c r="N12" s="235">
        <f t="shared" si="0"/>
        <v>17.719355999999998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332">
        <f t="shared" si="1"/>
        <v>8</v>
      </c>
      <c r="C13" s="337" t="s">
        <v>116</v>
      </c>
      <c r="D13" s="326" t="s">
        <v>117</v>
      </c>
      <c r="E13" s="47" t="s">
        <v>118</v>
      </c>
      <c r="F13" s="124">
        <v>6727.7</v>
      </c>
      <c r="G13" s="160">
        <v>6.16</v>
      </c>
      <c r="H13" s="168">
        <f>314+124</f>
        <v>438</v>
      </c>
      <c r="I13" s="185">
        <f>H13*66.132/1000</f>
        <v>28.965816000000004</v>
      </c>
      <c r="J13" s="113"/>
      <c r="K13" s="160"/>
      <c r="L13" s="185">
        <f t="shared" si="2"/>
        <v>0</v>
      </c>
      <c r="M13" s="240">
        <f>20.51+9.97</f>
        <v>30.480000000000004</v>
      </c>
      <c r="N13" s="235">
        <f t="shared" si="0"/>
        <v>1.5141840000000002</v>
      </c>
      <c r="O13" s="75"/>
      <c r="P13" s="3"/>
    </row>
    <row r="14" spans="2:16" ht="12.75" customHeight="1">
      <c r="B14" s="332">
        <f t="shared" si="1"/>
        <v>9</v>
      </c>
      <c r="C14" s="337" t="s">
        <v>128</v>
      </c>
      <c r="D14" s="326" t="s">
        <v>101</v>
      </c>
      <c r="E14" s="47">
        <v>40</v>
      </c>
      <c r="F14" s="124">
        <v>4726.8</v>
      </c>
      <c r="G14" s="160">
        <v>8.06</v>
      </c>
      <c r="H14" s="168">
        <v>99</v>
      </c>
      <c r="I14" s="206"/>
      <c r="J14" s="185">
        <f aca="true" t="shared" si="3" ref="J14:J28">H14*66.132/1000</f>
        <v>6.547068</v>
      </c>
      <c r="K14" s="163"/>
      <c r="L14" s="185">
        <f t="shared" si="2"/>
        <v>0</v>
      </c>
      <c r="M14" s="240">
        <f>17.26+8.76</f>
        <v>26.020000000000003</v>
      </c>
      <c r="N14" s="235">
        <f t="shared" si="0"/>
        <v>19.472932000000004</v>
      </c>
      <c r="O14" s="75"/>
      <c r="P14" s="3"/>
    </row>
    <row r="15" spans="2:16" ht="12.75" customHeight="1">
      <c r="B15" s="332">
        <f t="shared" si="1"/>
        <v>10</v>
      </c>
      <c r="C15" s="337" t="s">
        <v>129</v>
      </c>
      <c r="D15" s="326" t="s">
        <v>101</v>
      </c>
      <c r="E15" s="47">
        <v>42</v>
      </c>
      <c r="F15" s="124">
        <v>4730.4</v>
      </c>
      <c r="G15" s="160">
        <v>8.06</v>
      </c>
      <c r="H15" s="168">
        <v>325</v>
      </c>
      <c r="I15" s="206"/>
      <c r="J15" s="185">
        <f t="shared" si="3"/>
        <v>21.492900000000002</v>
      </c>
      <c r="K15" s="163"/>
      <c r="L15" s="185">
        <f t="shared" si="2"/>
        <v>0</v>
      </c>
      <c r="M15" s="240">
        <f>13.68+8.37</f>
        <v>22.049999999999997</v>
      </c>
      <c r="N15" s="235">
        <f t="shared" si="0"/>
        <v>0.5570999999999948</v>
      </c>
      <c r="O15" s="75"/>
      <c r="P15" s="3"/>
    </row>
    <row r="16" spans="2:16" ht="12.75" customHeight="1">
      <c r="B16" s="332">
        <f t="shared" si="1"/>
        <v>11</v>
      </c>
      <c r="C16" s="337" t="s">
        <v>130</v>
      </c>
      <c r="D16" s="326" t="s">
        <v>101</v>
      </c>
      <c r="E16" s="47">
        <v>44</v>
      </c>
      <c r="F16" s="124">
        <v>4727.7</v>
      </c>
      <c r="G16" s="160">
        <v>8.06</v>
      </c>
      <c r="H16" s="168">
        <v>178</v>
      </c>
      <c r="I16" s="206"/>
      <c r="J16" s="185">
        <f t="shared" si="3"/>
        <v>11.771496</v>
      </c>
      <c r="K16" s="163"/>
      <c r="L16" s="185">
        <f t="shared" si="2"/>
        <v>0</v>
      </c>
      <c r="M16" s="240">
        <f>14.45+9.18</f>
        <v>23.63</v>
      </c>
      <c r="N16" s="235">
        <f t="shared" si="0"/>
        <v>11.858503999999998</v>
      </c>
      <c r="O16" s="75"/>
      <c r="P16" s="3"/>
    </row>
    <row r="17" spans="2:16" ht="12.75" customHeight="1">
      <c r="B17" s="332">
        <f t="shared" si="1"/>
        <v>12</v>
      </c>
      <c r="C17" s="337" t="s">
        <v>120</v>
      </c>
      <c r="D17" s="326" t="s">
        <v>111</v>
      </c>
      <c r="E17" s="47">
        <v>11</v>
      </c>
      <c r="F17" s="124">
        <v>10656</v>
      </c>
      <c r="G17" s="160">
        <v>8.06</v>
      </c>
      <c r="H17" s="168">
        <v>405</v>
      </c>
      <c r="I17" s="206"/>
      <c r="J17" s="185">
        <f t="shared" si="3"/>
        <v>26.78346</v>
      </c>
      <c r="K17" s="163"/>
      <c r="L17" s="185">
        <f t="shared" si="2"/>
        <v>0</v>
      </c>
      <c r="M17" s="240">
        <f>29.65+19.36</f>
        <v>49.01</v>
      </c>
      <c r="N17" s="235">
        <f t="shared" si="0"/>
        <v>22.226539999999996</v>
      </c>
      <c r="O17" s="75"/>
      <c r="P17" s="32"/>
    </row>
    <row r="18" spans="2:28" ht="12.75" customHeight="1">
      <c r="B18" s="332">
        <f t="shared" si="1"/>
        <v>13</v>
      </c>
      <c r="C18" s="337" t="s">
        <v>61</v>
      </c>
      <c r="D18" s="326" t="s">
        <v>101</v>
      </c>
      <c r="E18" s="47">
        <v>13</v>
      </c>
      <c r="F18" s="124">
        <v>3545.7</v>
      </c>
      <c r="G18" s="165">
        <v>8.2</v>
      </c>
      <c r="H18" s="78">
        <v>291</v>
      </c>
      <c r="I18" s="207"/>
      <c r="J18" s="185">
        <f t="shared" si="3"/>
        <v>19.244412</v>
      </c>
      <c r="K18" s="163"/>
      <c r="L18" s="185">
        <f t="shared" si="2"/>
        <v>0</v>
      </c>
      <c r="M18" s="250">
        <f>12.08+6.38</f>
        <v>18.46</v>
      </c>
      <c r="N18" s="235">
        <f t="shared" si="0"/>
        <v>-0.7844119999999997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332">
        <f t="shared" si="1"/>
        <v>14</v>
      </c>
      <c r="C19" s="337" t="s">
        <v>62</v>
      </c>
      <c r="D19" s="326" t="s">
        <v>101</v>
      </c>
      <c r="E19" s="47">
        <v>15</v>
      </c>
      <c r="F19" s="124">
        <v>3547.1</v>
      </c>
      <c r="G19" s="165">
        <v>8.42</v>
      </c>
      <c r="H19" s="78">
        <v>254</v>
      </c>
      <c r="I19" s="207"/>
      <c r="J19" s="185">
        <f t="shared" si="3"/>
        <v>16.797528000000003</v>
      </c>
      <c r="K19" s="163"/>
      <c r="L19" s="185">
        <f t="shared" si="2"/>
        <v>0</v>
      </c>
      <c r="M19" s="250">
        <f>9.12+6.09</f>
        <v>15.209999999999999</v>
      </c>
      <c r="N19" s="235">
        <f t="shared" si="0"/>
        <v>-1.5875280000000043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332">
        <f t="shared" si="1"/>
        <v>15</v>
      </c>
      <c r="C20" s="337" t="s">
        <v>67</v>
      </c>
      <c r="D20" s="326" t="s">
        <v>101</v>
      </c>
      <c r="E20" s="47" t="s">
        <v>102</v>
      </c>
      <c r="F20" s="124">
        <v>3524.6</v>
      </c>
      <c r="G20" s="160">
        <v>8.06</v>
      </c>
      <c r="H20" s="168">
        <v>242</v>
      </c>
      <c r="I20" s="206"/>
      <c r="J20" s="185">
        <f t="shared" si="3"/>
        <v>16.003944</v>
      </c>
      <c r="K20" s="163"/>
      <c r="L20" s="185">
        <f t="shared" si="2"/>
        <v>0</v>
      </c>
      <c r="M20" s="250">
        <f>14.66+4.65</f>
        <v>19.310000000000002</v>
      </c>
      <c r="N20" s="235">
        <f t="shared" si="0"/>
        <v>3.3060560000000017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332">
        <f t="shared" si="1"/>
        <v>16</v>
      </c>
      <c r="C21" s="337" t="s">
        <v>126</v>
      </c>
      <c r="D21" s="326" t="s">
        <v>167</v>
      </c>
      <c r="E21" s="47">
        <v>7</v>
      </c>
      <c r="F21" s="124">
        <v>16614.4</v>
      </c>
      <c r="G21" s="160">
        <v>8.06</v>
      </c>
      <c r="H21" s="168">
        <v>693</v>
      </c>
      <c r="I21" s="206"/>
      <c r="J21" s="185">
        <f t="shared" si="3"/>
        <v>45.829476</v>
      </c>
      <c r="K21" s="163"/>
      <c r="L21" s="185">
        <f t="shared" si="2"/>
        <v>0</v>
      </c>
      <c r="M21" s="250">
        <f>26.99+22.28+17.29+14.19</f>
        <v>80.75</v>
      </c>
      <c r="N21" s="235">
        <f t="shared" si="0"/>
        <v>34.920524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332">
        <f t="shared" si="1"/>
        <v>17</v>
      </c>
      <c r="C22" s="337" t="s">
        <v>68</v>
      </c>
      <c r="D22" s="326" t="s">
        <v>111</v>
      </c>
      <c r="E22" s="51" t="s">
        <v>112</v>
      </c>
      <c r="F22" s="124">
        <v>14948.6</v>
      </c>
      <c r="G22" s="160">
        <v>7.72</v>
      </c>
      <c r="H22" s="168">
        <v>919</v>
      </c>
      <c r="I22" s="206"/>
      <c r="J22" s="185">
        <f t="shared" si="3"/>
        <v>60.775308</v>
      </c>
      <c r="K22" s="163"/>
      <c r="L22" s="185">
        <f t="shared" si="2"/>
        <v>0</v>
      </c>
      <c r="M22" s="250">
        <f>36.46+22.74</f>
        <v>59.2</v>
      </c>
      <c r="N22" s="235">
        <f t="shared" si="0"/>
        <v>-1.5753079999999997</v>
      </c>
      <c r="O22" s="75"/>
      <c r="P22" s="3"/>
    </row>
    <row r="23" spans="2:16" ht="12.75" customHeight="1">
      <c r="B23" s="332">
        <f t="shared" si="1"/>
        <v>18</v>
      </c>
      <c r="C23" s="337" t="s">
        <v>148</v>
      </c>
      <c r="D23" s="326" t="s">
        <v>101</v>
      </c>
      <c r="E23" s="51" t="s">
        <v>149</v>
      </c>
      <c r="F23" s="124">
        <v>8832.7</v>
      </c>
      <c r="G23" s="160">
        <v>8.06</v>
      </c>
      <c r="H23" s="168">
        <v>432</v>
      </c>
      <c r="I23" s="206"/>
      <c r="J23" s="185">
        <f t="shared" si="3"/>
        <v>28.569024000000002</v>
      </c>
      <c r="K23" s="163"/>
      <c r="L23" s="185">
        <f t="shared" si="2"/>
        <v>0</v>
      </c>
      <c r="M23" s="250">
        <f>5.87+9.92+2.96+4.14</f>
        <v>22.89</v>
      </c>
      <c r="N23" s="235">
        <f t="shared" si="0"/>
        <v>-5.679024000000002</v>
      </c>
      <c r="O23" s="75"/>
      <c r="P23" s="3"/>
    </row>
    <row r="24" spans="2:28" ht="12.75" customHeight="1">
      <c r="B24" s="332">
        <f t="shared" si="1"/>
        <v>19</v>
      </c>
      <c r="C24" s="494" t="s">
        <v>59</v>
      </c>
      <c r="D24" s="326" t="s">
        <v>101</v>
      </c>
      <c r="E24" s="52">
        <v>21</v>
      </c>
      <c r="F24" s="124">
        <v>19523.1</v>
      </c>
      <c r="G24" s="165">
        <v>6.7</v>
      </c>
      <c r="H24" s="78">
        <v>1135</v>
      </c>
      <c r="I24" s="207"/>
      <c r="J24" s="185">
        <f t="shared" si="3"/>
        <v>75.05982</v>
      </c>
      <c r="K24" s="163"/>
      <c r="L24" s="185">
        <f t="shared" si="2"/>
        <v>0</v>
      </c>
      <c r="M24" s="250">
        <f>18.54+27.88+10.92+17.11</f>
        <v>74.45</v>
      </c>
      <c r="N24" s="235">
        <f t="shared" si="0"/>
        <v>-0.6098199999999991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332">
        <f t="shared" si="1"/>
        <v>20</v>
      </c>
      <c r="C25" s="494" t="s">
        <v>104</v>
      </c>
      <c r="D25" s="326" t="s">
        <v>101</v>
      </c>
      <c r="E25" s="52">
        <v>23</v>
      </c>
      <c r="F25" s="131">
        <v>18481.1</v>
      </c>
      <c r="G25" s="160">
        <v>7.1</v>
      </c>
      <c r="H25" s="168">
        <v>1027</v>
      </c>
      <c r="I25" s="206"/>
      <c r="J25" s="185">
        <f t="shared" si="3"/>
        <v>67.917564</v>
      </c>
      <c r="K25" s="280">
        <v>21</v>
      </c>
      <c r="L25" s="185">
        <f t="shared" si="2"/>
        <v>1.3887720000000001</v>
      </c>
      <c r="M25" s="242">
        <f>19.07+21.24+12.55+13</f>
        <v>65.86</v>
      </c>
      <c r="N25" s="235">
        <f t="shared" si="0"/>
        <v>-3.4463359999999996</v>
      </c>
      <c r="O25" s="75"/>
      <c r="P25" s="3"/>
      <c r="Q25" s="374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332">
        <f t="shared" si="1"/>
        <v>21</v>
      </c>
      <c r="C26" s="494" t="s">
        <v>105</v>
      </c>
      <c r="D26" s="326" t="s">
        <v>101</v>
      </c>
      <c r="E26" s="52">
        <v>25</v>
      </c>
      <c r="F26" s="124">
        <v>18464.4</v>
      </c>
      <c r="G26" s="160">
        <v>7.2</v>
      </c>
      <c r="H26" s="168">
        <v>1246</v>
      </c>
      <c r="I26" s="206"/>
      <c r="J26" s="185">
        <f t="shared" si="3"/>
        <v>82.40047200000001</v>
      </c>
      <c r="K26" s="163"/>
      <c r="L26" s="185">
        <f t="shared" si="2"/>
        <v>0</v>
      </c>
      <c r="M26" s="242">
        <f>21.82+21.68+13.93+13.25</f>
        <v>70.68</v>
      </c>
      <c r="N26" s="235">
        <f t="shared" si="0"/>
        <v>-11.720472000000001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332">
        <f t="shared" si="1"/>
        <v>22</v>
      </c>
      <c r="C27" s="494" t="s">
        <v>103</v>
      </c>
      <c r="D27" s="324" t="s">
        <v>101</v>
      </c>
      <c r="E27" s="52">
        <v>17</v>
      </c>
      <c r="F27" s="124">
        <v>30266.3</v>
      </c>
      <c r="G27" s="165">
        <v>6.59</v>
      </c>
      <c r="H27" s="78">
        <v>1642</v>
      </c>
      <c r="I27" s="207"/>
      <c r="J27" s="185">
        <f t="shared" si="3"/>
        <v>108.588744</v>
      </c>
      <c r="K27" s="163"/>
      <c r="L27" s="185">
        <f t="shared" si="2"/>
        <v>0</v>
      </c>
      <c r="M27" s="242">
        <f>17.66+36.85+19.46+13.27+22.89+12.58</f>
        <v>122.71</v>
      </c>
      <c r="N27" s="235">
        <f t="shared" si="0"/>
        <v>14.121255999999988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7" ht="12.75" customHeight="1">
      <c r="B28" s="332">
        <f t="shared" si="1"/>
        <v>23</v>
      </c>
      <c r="C28" s="494" t="s">
        <v>65</v>
      </c>
      <c r="D28" s="324" t="s">
        <v>113</v>
      </c>
      <c r="E28" s="52">
        <v>19</v>
      </c>
      <c r="F28" s="124">
        <v>24146</v>
      </c>
      <c r="G28" s="160">
        <v>6.61</v>
      </c>
      <c r="H28" s="168">
        <v>1392</v>
      </c>
      <c r="I28" s="206"/>
      <c r="J28" s="185">
        <f t="shared" si="3"/>
        <v>92.055744</v>
      </c>
      <c r="K28" s="280">
        <v>13</v>
      </c>
      <c r="L28" s="185">
        <f t="shared" si="2"/>
        <v>0.8597160000000001</v>
      </c>
      <c r="M28" s="242">
        <f>22+25.38+14.72+13.35</f>
        <v>75.44999999999999</v>
      </c>
      <c r="N28" s="235">
        <f t="shared" si="0"/>
        <v>-17.465460000000014</v>
      </c>
      <c r="O28" s="75"/>
      <c r="P28" s="3"/>
      <c r="Q28" s="281"/>
    </row>
    <row r="29" spans="2:28" ht="12.75" customHeight="1">
      <c r="B29" s="332">
        <f t="shared" si="1"/>
        <v>24</v>
      </c>
      <c r="C29" s="337" t="s">
        <v>63</v>
      </c>
      <c r="D29" s="326" t="s">
        <v>101</v>
      </c>
      <c r="E29" s="52">
        <v>29</v>
      </c>
      <c r="F29" s="124">
        <v>20258.6</v>
      </c>
      <c r="G29" s="160">
        <v>6.78</v>
      </c>
      <c r="H29" s="168">
        <f>281+404+196+252</f>
        <v>1133</v>
      </c>
      <c r="I29" s="185">
        <f aca="true" t="shared" si="4" ref="I29:I44">H29*66.132/1000</f>
        <v>74.92755600000001</v>
      </c>
      <c r="J29" s="160"/>
      <c r="K29" s="200">
        <v>40</v>
      </c>
      <c r="L29" s="185">
        <f t="shared" si="2"/>
        <v>2.64528</v>
      </c>
      <c r="M29" s="240">
        <f>24.63+36.71+19.37+25.55</f>
        <v>106.26</v>
      </c>
      <c r="N29" s="235">
        <f t="shared" si="0"/>
        <v>28.687163999999996</v>
      </c>
      <c r="O29" s="75"/>
      <c r="P29" s="3"/>
      <c r="Q29" s="374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332">
        <f t="shared" si="1"/>
        <v>25</v>
      </c>
      <c r="C30" s="337" t="s">
        <v>55</v>
      </c>
      <c r="D30" s="324" t="s">
        <v>101</v>
      </c>
      <c r="E30" s="52">
        <v>31</v>
      </c>
      <c r="F30" s="124">
        <v>6735.1</v>
      </c>
      <c r="G30" s="160">
        <v>7.01</v>
      </c>
      <c r="H30" s="168">
        <f>241+144</f>
        <v>385</v>
      </c>
      <c r="I30" s="185">
        <f t="shared" si="4"/>
        <v>25.460820000000002</v>
      </c>
      <c r="J30" s="160"/>
      <c r="K30" s="160"/>
      <c r="L30" s="185">
        <f t="shared" si="2"/>
        <v>0</v>
      </c>
      <c r="M30" s="240">
        <f>20.71+13.26</f>
        <v>33.97</v>
      </c>
      <c r="N30" s="235">
        <f t="shared" si="0"/>
        <v>8.509179999999997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332">
        <f t="shared" si="1"/>
        <v>26</v>
      </c>
      <c r="C31" s="337" t="s">
        <v>84</v>
      </c>
      <c r="D31" s="324" t="s">
        <v>85</v>
      </c>
      <c r="E31" s="52">
        <v>27</v>
      </c>
      <c r="F31" s="124">
        <v>13989.3</v>
      </c>
      <c r="G31" s="160">
        <v>6.35</v>
      </c>
      <c r="H31" s="168">
        <f>311+310+203+183</f>
        <v>1007</v>
      </c>
      <c r="I31" s="185">
        <f t="shared" si="4"/>
        <v>66.594924</v>
      </c>
      <c r="J31" s="160"/>
      <c r="K31" s="160"/>
      <c r="L31" s="185">
        <f t="shared" si="2"/>
        <v>0</v>
      </c>
      <c r="M31" s="240">
        <f>21.19+28.91+13.79+18.52</f>
        <v>82.41</v>
      </c>
      <c r="N31" s="235">
        <f t="shared" si="0"/>
        <v>15.81507599999999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332">
        <f t="shared" si="1"/>
        <v>27</v>
      </c>
      <c r="C32" s="337" t="s">
        <v>2</v>
      </c>
      <c r="D32" s="324" t="s">
        <v>85</v>
      </c>
      <c r="E32" s="52">
        <v>29</v>
      </c>
      <c r="F32" s="124">
        <v>13695.4</v>
      </c>
      <c r="G32" s="160">
        <v>6.44</v>
      </c>
      <c r="H32" s="168">
        <f>490+304</f>
        <v>794</v>
      </c>
      <c r="I32" s="185">
        <f t="shared" si="4"/>
        <v>52.508808</v>
      </c>
      <c r="J32" s="113"/>
      <c r="K32" s="160">
        <v>7</v>
      </c>
      <c r="L32" s="185">
        <f t="shared" si="2"/>
        <v>0.46292400000000006</v>
      </c>
      <c r="M32" s="240">
        <f>46.27+29.44</f>
        <v>75.71000000000001</v>
      </c>
      <c r="N32" s="235">
        <f t="shared" si="0"/>
        <v>22.738268000000005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332">
        <f t="shared" si="1"/>
        <v>28</v>
      </c>
      <c r="C33" s="337" t="s">
        <v>3</v>
      </c>
      <c r="D33" s="324" t="s">
        <v>85</v>
      </c>
      <c r="E33" s="52">
        <v>31</v>
      </c>
      <c r="F33" s="124">
        <v>6360.3</v>
      </c>
      <c r="G33" s="160">
        <v>8.28</v>
      </c>
      <c r="H33" s="168">
        <f>243+138</f>
        <v>381</v>
      </c>
      <c r="I33" s="185">
        <f t="shared" si="4"/>
        <v>25.196292</v>
      </c>
      <c r="J33" s="113"/>
      <c r="K33" s="160">
        <v>2</v>
      </c>
      <c r="L33" s="185">
        <f t="shared" si="2"/>
        <v>0.13226400000000002</v>
      </c>
      <c r="M33" s="240">
        <f>27.23+17.35</f>
        <v>44.58</v>
      </c>
      <c r="N33" s="235">
        <f t="shared" si="0"/>
        <v>19.251444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332">
        <f t="shared" si="1"/>
        <v>29</v>
      </c>
      <c r="C34" s="337" t="s">
        <v>4</v>
      </c>
      <c r="D34" s="324" t="s">
        <v>113</v>
      </c>
      <c r="E34" s="52" t="s">
        <v>114</v>
      </c>
      <c r="F34" s="124">
        <v>12946.5</v>
      </c>
      <c r="G34" s="160">
        <v>7.09</v>
      </c>
      <c r="H34" s="168">
        <f>366+281</f>
        <v>647</v>
      </c>
      <c r="I34" s="185">
        <f t="shared" si="4"/>
        <v>42.787404</v>
      </c>
      <c r="J34" s="113"/>
      <c r="K34" s="160">
        <v>26</v>
      </c>
      <c r="L34" s="185">
        <f t="shared" si="2"/>
        <v>1.7194320000000003</v>
      </c>
      <c r="M34" s="240">
        <f>37.99+18.67</f>
        <v>56.660000000000004</v>
      </c>
      <c r="N34" s="235">
        <f t="shared" si="0"/>
        <v>12.153164</v>
      </c>
      <c r="O34" s="75"/>
      <c r="P34" s="3"/>
    </row>
    <row r="35" spans="2:16" ht="12.75" customHeight="1">
      <c r="B35" s="332">
        <f t="shared" si="1"/>
        <v>30</v>
      </c>
      <c r="C35" s="337" t="s">
        <v>5</v>
      </c>
      <c r="D35" s="324" t="s">
        <v>113</v>
      </c>
      <c r="E35" s="52">
        <v>35</v>
      </c>
      <c r="F35" s="124">
        <v>12207.7</v>
      </c>
      <c r="G35" s="160">
        <v>7.12</v>
      </c>
      <c r="H35" s="168">
        <f>413+260</f>
        <v>673</v>
      </c>
      <c r="I35" s="185">
        <f t="shared" si="4"/>
        <v>44.506836</v>
      </c>
      <c r="J35" s="113"/>
      <c r="K35" s="160"/>
      <c r="L35" s="185">
        <f t="shared" si="2"/>
        <v>0</v>
      </c>
      <c r="M35" s="240">
        <f>33.69+21.59</f>
        <v>55.28</v>
      </c>
      <c r="N35" s="235">
        <f t="shared" si="0"/>
        <v>10.773164000000001</v>
      </c>
      <c r="O35" s="75"/>
      <c r="P35" s="3"/>
    </row>
    <row r="36" spans="2:16" ht="12.75" customHeight="1">
      <c r="B36" s="332">
        <f t="shared" si="1"/>
        <v>31</v>
      </c>
      <c r="C36" s="337" t="s">
        <v>6</v>
      </c>
      <c r="D36" s="324" t="s">
        <v>113</v>
      </c>
      <c r="E36" s="52">
        <v>39</v>
      </c>
      <c r="F36" s="124">
        <v>4902.2</v>
      </c>
      <c r="G36" s="160">
        <v>6.51</v>
      </c>
      <c r="H36" s="168">
        <f>195+112</f>
        <v>307</v>
      </c>
      <c r="I36" s="185">
        <f t="shared" si="4"/>
        <v>20.302524000000002</v>
      </c>
      <c r="J36" s="113"/>
      <c r="K36" s="160"/>
      <c r="L36" s="185">
        <f t="shared" si="2"/>
        <v>0</v>
      </c>
      <c r="M36" s="240">
        <f>16.44+10.48</f>
        <v>26.92</v>
      </c>
      <c r="N36" s="235">
        <f t="shared" si="0"/>
        <v>6.617476</v>
      </c>
      <c r="O36" s="75"/>
      <c r="P36" s="3"/>
    </row>
    <row r="37" spans="2:28" ht="12.75" customHeight="1">
      <c r="B37" s="332">
        <f t="shared" si="1"/>
        <v>32</v>
      </c>
      <c r="C37" s="337" t="s">
        <v>64</v>
      </c>
      <c r="D37" s="324" t="s">
        <v>101</v>
      </c>
      <c r="E37" s="52">
        <v>33</v>
      </c>
      <c r="F37" s="124">
        <v>19674.8</v>
      </c>
      <c r="G37" s="160">
        <v>6.92</v>
      </c>
      <c r="H37" s="168">
        <f>327+306+210+196</f>
        <v>1039</v>
      </c>
      <c r="I37" s="185">
        <f t="shared" si="4"/>
        <v>68.711148</v>
      </c>
      <c r="J37" s="160"/>
      <c r="K37" s="160">
        <v>3</v>
      </c>
      <c r="L37" s="185">
        <f t="shared" si="2"/>
        <v>0.19839600000000002</v>
      </c>
      <c r="M37" s="240">
        <f>32.99+30.93+22.25+16</f>
        <v>102.17</v>
      </c>
      <c r="N37" s="235">
        <f t="shared" si="0"/>
        <v>33.260456000000005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332">
        <f t="shared" si="1"/>
        <v>33</v>
      </c>
      <c r="C38" s="337" t="s">
        <v>7</v>
      </c>
      <c r="D38" s="324" t="s">
        <v>101</v>
      </c>
      <c r="E38" s="52">
        <v>35</v>
      </c>
      <c r="F38" s="124">
        <v>10939</v>
      </c>
      <c r="G38" s="160">
        <v>7.72</v>
      </c>
      <c r="H38" s="168">
        <f>380+236</f>
        <v>616</v>
      </c>
      <c r="I38" s="185">
        <f t="shared" si="4"/>
        <v>40.737312</v>
      </c>
      <c r="J38" s="113"/>
      <c r="K38" s="160">
        <v>15</v>
      </c>
      <c r="L38" s="185">
        <f t="shared" si="2"/>
        <v>0.99198</v>
      </c>
      <c r="M38" s="240">
        <f>29.58+25.53</f>
        <v>55.11</v>
      </c>
      <c r="N38" s="235">
        <f aca="true" t="shared" si="5" ref="N38:N67">M38-I38-J38-L38</f>
        <v>13.380707999999997</v>
      </c>
      <c r="O38" s="75"/>
      <c r="P38" s="3"/>
    </row>
    <row r="39" spans="2:28" ht="12.75" customHeight="1">
      <c r="B39" s="332">
        <f aca="true" t="shared" si="6" ref="B39:B55">B38+1</f>
        <v>34</v>
      </c>
      <c r="C39" s="337" t="s">
        <v>8</v>
      </c>
      <c r="D39" s="324" t="s">
        <v>85</v>
      </c>
      <c r="E39" s="52">
        <v>33</v>
      </c>
      <c r="F39" s="124">
        <v>6730.4</v>
      </c>
      <c r="G39" s="160">
        <v>8.49</v>
      </c>
      <c r="H39" s="168">
        <f>258+162</f>
        <v>420</v>
      </c>
      <c r="I39" s="185">
        <f t="shared" si="4"/>
        <v>27.775440000000003</v>
      </c>
      <c r="J39" s="113"/>
      <c r="K39" s="160"/>
      <c r="L39" s="185">
        <f t="shared" si="2"/>
        <v>0</v>
      </c>
      <c r="M39" s="240">
        <f>30.93+20.75</f>
        <v>51.68</v>
      </c>
      <c r="N39" s="235">
        <f t="shared" si="5"/>
        <v>23.904559999999996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332">
        <f t="shared" si="6"/>
        <v>35</v>
      </c>
      <c r="C40" s="337" t="s">
        <v>9</v>
      </c>
      <c r="D40" s="326" t="s">
        <v>101</v>
      </c>
      <c r="E40" s="52">
        <v>45</v>
      </c>
      <c r="F40" s="124">
        <v>6586.2</v>
      </c>
      <c r="G40" s="164">
        <v>6</v>
      </c>
      <c r="H40" s="211">
        <f>204+137</f>
        <v>341</v>
      </c>
      <c r="I40" s="185">
        <f t="shared" si="4"/>
        <v>22.551012000000004</v>
      </c>
      <c r="J40" s="83"/>
      <c r="K40" s="164">
        <v>52</v>
      </c>
      <c r="L40" s="185">
        <f t="shared" si="2"/>
        <v>3.4388640000000006</v>
      </c>
      <c r="M40" s="240">
        <f>20.56+14.89</f>
        <v>35.45</v>
      </c>
      <c r="N40" s="235">
        <f t="shared" si="5"/>
        <v>9.460123999999999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332">
        <f t="shared" si="6"/>
        <v>36</v>
      </c>
      <c r="C41" s="337" t="s">
        <v>10</v>
      </c>
      <c r="D41" s="324" t="s">
        <v>113</v>
      </c>
      <c r="E41" s="52" t="s">
        <v>115</v>
      </c>
      <c r="F41" s="124">
        <v>2378.8</v>
      </c>
      <c r="G41" s="160">
        <v>9.9</v>
      </c>
      <c r="H41" s="168">
        <f>98+61</f>
        <v>159</v>
      </c>
      <c r="I41" s="185">
        <f t="shared" si="4"/>
        <v>10.514988</v>
      </c>
      <c r="J41" s="113"/>
      <c r="K41" s="160">
        <v>2</v>
      </c>
      <c r="L41" s="185">
        <f t="shared" si="2"/>
        <v>0.13226400000000002</v>
      </c>
      <c r="M41" s="240">
        <f>10.98+7.09</f>
        <v>18.07</v>
      </c>
      <c r="N41" s="235">
        <f t="shared" si="5"/>
        <v>7.4227479999999995</v>
      </c>
      <c r="O41" s="75"/>
      <c r="P41" s="3"/>
    </row>
    <row r="42" spans="2:28" ht="12.75" customHeight="1">
      <c r="B42" s="332">
        <f t="shared" si="6"/>
        <v>37</v>
      </c>
      <c r="C42" s="337" t="s">
        <v>100</v>
      </c>
      <c r="D42" s="324" t="s">
        <v>98</v>
      </c>
      <c r="E42" s="52">
        <v>138</v>
      </c>
      <c r="F42" s="124">
        <v>7175.7</v>
      </c>
      <c r="G42" s="160">
        <v>9.51</v>
      </c>
      <c r="H42" s="168">
        <f>148+146</f>
        <v>294</v>
      </c>
      <c r="I42" s="185">
        <f t="shared" si="4"/>
        <v>19.442808</v>
      </c>
      <c r="J42" s="113"/>
      <c r="K42" s="160">
        <v>116</v>
      </c>
      <c r="L42" s="185">
        <f t="shared" si="2"/>
        <v>7.671312000000001</v>
      </c>
      <c r="M42" s="240">
        <f>12.75+13.43</f>
        <v>26.18</v>
      </c>
      <c r="N42" s="235">
        <f t="shared" si="5"/>
        <v>-0.934120000000001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332">
        <f t="shared" si="6"/>
        <v>38</v>
      </c>
      <c r="C43" s="494" t="s">
        <v>58</v>
      </c>
      <c r="D43" s="327" t="s">
        <v>98</v>
      </c>
      <c r="E43" s="53" t="s">
        <v>99</v>
      </c>
      <c r="F43" s="131">
        <v>4256.7</v>
      </c>
      <c r="G43" s="160">
        <v>8.06</v>
      </c>
      <c r="H43" s="168">
        <f>140+77</f>
        <v>217</v>
      </c>
      <c r="I43" s="185">
        <f t="shared" si="4"/>
        <v>14.350644</v>
      </c>
      <c r="J43" s="160"/>
      <c r="K43" s="160"/>
      <c r="L43" s="185">
        <f t="shared" si="2"/>
        <v>0</v>
      </c>
      <c r="M43" s="280">
        <f>15.66+10</f>
        <v>25.66</v>
      </c>
      <c r="N43" s="235">
        <f t="shared" si="5"/>
        <v>11.309356</v>
      </c>
      <c r="O43" s="75"/>
      <c r="P43" s="3"/>
      <c r="Q43" s="252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332">
        <f t="shared" si="6"/>
        <v>39</v>
      </c>
      <c r="C44" s="494" t="s">
        <v>12</v>
      </c>
      <c r="D44" s="324" t="s">
        <v>75</v>
      </c>
      <c r="E44" s="52">
        <v>59</v>
      </c>
      <c r="F44" s="124">
        <v>5797</v>
      </c>
      <c r="G44" s="160">
        <v>8.87</v>
      </c>
      <c r="H44" s="168">
        <f>258+153</f>
        <v>411</v>
      </c>
      <c r="I44" s="185">
        <f t="shared" si="4"/>
        <v>27.180252</v>
      </c>
      <c r="J44" s="161"/>
      <c r="K44" s="160"/>
      <c r="L44" s="185">
        <f t="shared" si="2"/>
        <v>0</v>
      </c>
      <c r="M44" s="200">
        <f>18.92+11.53</f>
        <v>30.450000000000003</v>
      </c>
      <c r="N44" s="235">
        <f t="shared" si="5"/>
        <v>3.2697480000000034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332">
        <f t="shared" si="6"/>
        <v>40</v>
      </c>
      <c r="C45" s="494" t="s">
        <v>134</v>
      </c>
      <c r="D45" s="324" t="s">
        <v>75</v>
      </c>
      <c r="E45" s="52" t="s">
        <v>115</v>
      </c>
      <c r="F45" s="124">
        <v>5325.4</v>
      </c>
      <c r="G45" s="160">
        <v>8.06</v>
      </c>
      <c r="H45" s="168">
        <v>65</v>
      </c>
      <c r="I45" s="206"/>
      <c r="J45" s="185">
        <f>H45*66.132/1000</f>
        <v>4.29858</v>
      </c>
      <c r="K45" s="163"/>
      <c r="L45" s="185">
        <f t="shared" si="2"/>
        <v>0</v>
      </c>
      <c r="M45" s="200">
        <f>2.74+1.86</f>
        <v>4.6000000000000005</v>
      </c>
      <c r="N45" s="235">
        <f t="shared" si="5"/>
        <v>0.30142000000000024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332">
        <f t="shared" si="6"/>
        <v>41</v>
      </c>
      <c r="C46" s="494" t="s">
        <v>13</v>
      </c>
      <c r="D46" s="324" t="s">
        <v>76</v>
      </c>
      <c r="E46" s="52">
        <v>5</v>
      </c>
      <c r="F46" s="124">
        <v>11675.3</v>
      </c>
      <c r="G46" s="160">
        <v>6.93</v>
      </c>
      <c r="H46" s="168">
        <f>506+293</f>
        <v>799</v>
      </c>
      <c r="I46" s="185">
        <f aca="true" t="shared" si="7" ref="I46:I52">H46*66.132/1000</f>
        <v>52.839468000000004</v>
      </c>
      <c r="J46" s="113"/>
      <c r="K46" s="160"/>
      <c r="L46" s="185">
        <f t="shared" si="2"/>
        <v>0</v>
      </c>
      <c r="M46" s="200">
        <f>48.52+29.93</f>
        <v>78.45</v>
      </c>
      <c r="N46" s="235">
        <f t="shared" si="5"/>
        <v>25.610532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332">
        <f t="shared" si="6"/>
        <v>42</v>
      </c>
      <c r="C47" s="494" t="s">
        <v>14</v>
      </c>
      <c r="D47" s="324" t="s">
        <v>76</v>
      </c>
      <c r="E47" s="52" t="s">
        <v>77</v>
      </c>
      <c r="F47" s="124">
        <v>3803.7</v>
      </c>
      <c r="G47" s="160">
        <v>8.71</v>
      </c>
      <c r="H47" s="168">
        <f>170+94</f>
        <v>264</v>
      </c>
      <c r="I47" s="185">
        <f t="shared" si="7"/>
        <v>17.458848000000003</v>
      </c>
      <c r="J47" s="113"/>
      <c r="K47" s="160">
        <v>3</v>
      </c>
      <c r="L47" s="185">
        <f t="shared" si="2"/>
        <v>0.19839600000000002</v>
      </c>
      <c r="M47" s="200">
        <f>17.31+10.59</f>
        <v>27.9</v>
      </c>
      <c r="N47" s="235">
        <f t="shared" si="5"/>
        <v>10.242755999999995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332">
        <f t="shared" si="6"/>
        <v>43</v>
      </c>
      <c r="C48" s="494" t="s">
        <v>15</v>
      </c>
      <c r="D48" s="324" t="s">
        <v>86</v>
      </c>
      <c r="E48" s="52" t="s">
        <v>87</v>
      </c>
      <c r="F48" s="124">
        <v>13733.1</v>
      </c>
      <c r="G48" s="160">
        <v>7.56</v>
      </c>
      <c r="H48" s="168">
        <f>580+277</f>
        <v>857</v>
      </c>
      <c r="I48" s="185">
        <f t="shared" si="7"/>
        <v>56.675124000000004</v>
      </c>
      <c r="J48" s="160"/>
      <c r="K48" s="160"/>
      <c r="L48" s="185">
        <f t="shared" si="2"/>
        <v>0</v>
      </c>
      <c r="M48" s="200">
        <f>43.83+22.62</f>
        <v>66.45</v>
      </c>
      <c r="N48" s="235">
        <f t="shared" si="5"/>
        <v>9.774875999999999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332">
        <f t="shared" si="6"/>
        <v>44</v>
      </c>
      <c r="C49" s="494" t="s">
        <v>90</v>
      </c>
      <c r="D49" s="324" t="s">
        <v>86</v>
      </c>
      <c r="E49" s="52" t="s">
        <v>91</v>
      </c>
      <c r="F49" s="124">
        <v>8981.6</v>
      </c>
      <c r="G49" s="160">
        <v>7.48</v>
      </c>
      <c r="H49" s="168">
        <f>379+234</f>
        <v>613</v>
      </c>
      <c r="I49" s="185">
        <f t="shared" si="7"/>
        <v>40.53891600000001</v>
      </c>
      <c r="J49" s="160"/>
      <c r="K49" s="160"/>
      <c r="L49" s="185">
        <f t="shared" si="2"/>
        <v>0</v>
      </c>
      <c r="M49" s="200">
        <f>32.46+20.01</f>
        <v>52.47</v>
      </c>
      <c r="N49" s="235">
        <f t="shared" si="5"/>
        <v>11.931083999999991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332">
        <f t="shared" si="6"/>
        <v>45</v>
      </c>
      <c r="C50" s="494" t="s">
        <v>88</v>
      </c>
      <c r="D50" s="324" t="s">
        <v>86</v>
      </c>
      <c r="E50" s="52" t="s">
        <v>89</v>
      </c>
      <c r="F50" s="124">
        <v>4789.4</v>
      </c>
      <c r="G50" s="160">
        <v>7.44</v>
      </c>
      <c r="H50" s="168">
        <f>207+121</f>
        <v>328</v>
      </c>
      <c r="I50" s="185">
        <f t="shared" si="7"/>
        <v>21.691296</v>
      </c>
      <c r="J50" s="113"/>
      <c r="K50" s="160"/>
      <c r="L50" s="185">
        <f t="shared" si="2"/>
        <v>0</v>
      </c>
      <c r="M50" s="200">
        <f>17.74+10.13</f>
        <v>27.869999999999997</v>
      </c>
      <c r="N50" s="235">
        <f t="shared" si="5"/>
        <v>6.178703999999996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332">
        <f t="shared" si="6"/>
        <v>46</v>
      </c>
      <c r="C51" s="494" t="s">
        <v>92</v>
      </c>
      <c r="D51" s="324" t="s">
        <v>86</v>
      </c>
      <c r="E51" s="52" t="s">
        <v>93</v>
      </c>
      <c r="F51" s="124">
        <v>5273.8</v>
      </c>
      <c r="G51" s="160">
        <v>6.64</v>
      </c>
      <c r="H51" s="168">
        <f>276+165</f>
        <v>441</v>
      </c>
      <c r="I51" s="185">
        <f t="shared" si="7"/>
        <v>29.164212000000003</v>
      </c>
      <c r="J51" s="113"/>
      <c r="K51" s="160"/>
      <c r="L51" s="185">
        <f t="shared" si="2"/>
        <v>0</v>
      </c>
      <c r="M51" s="200">
        <f>20.98+12.01</f>
        <v>32.99</v>
      </c>
      <c r="N51" s="235">
        <f t="shared" si="5"/>
        <v>3.8257879999999993</v>
      </c>
      <c r="O51" s="75"/>
      <c r="P51" s="3"/>
      <c r="Q51" s="252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332">
        <f t="shared" si="6"/>
        <v>47</v>
      </c>
      <c r="C52" s="337" t="s">
        <v>19</v>
      </c>
      <c r="D52" s="324" t="s">
        <v>83</v>
      </c>
      <c r="E52" s="52">
        <v>108</v>
      </c>
      <c r="F52" s="124">
        <v>11125.8</v>
      </c>
      <c r="G52" s="160">
        <v>6.91</v>
      </c>
      <c r="H52" s="168">
        <f>600+369</f>
        <v>969</v>
      </c>
      <c r="I52" s="185">
        <f t="shared" si="7"/>
        <v>64.081908</v>
      </c>
      <c r="J52" s="113"/>
      <c r="K52" s="160">
        <v>7</v>
      </c>
      <c r="L52" s="185">
        <f t="shared" si="2"/>
        <v>0.46292400000000006</v>
      </c>
      <c r="M52" s="200">
        <f>38.1+23.12</f>
        <v>61.22</v>
      </c>
      <c r="N52" s="235">
        <f t="shared" si="5"/>
        <v>-3.324832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332">
        <f t="shared" si="6"/>
        <v>48</v>
      </c>
      <c r="C53" s="337" t="s">
        <v>70</v>
      </c>
      <c r="D53" s="324" t="s">
        <v>83</v>
      </c>
      <c r="E53" s="52">
        <v>120</v>
      </c>
      <c r="F53" s="124">
        <v>6713.5</v>
      </c>
      <c r="G53" s="160">
        <v>8.04</v>
      </c>
      <c r="H53" s="168">
        <v>462</v>
      </c>
      <c r="I53" s="206"/>
      <c r="J53" s="185">
        <f>H53*66.132/1000</f>
        <v>30.552984000000006</v>
      </c>
      <c r="K53" s="163"/>
      <c r="L53" s="185">
        <f t="shared" si="2"/>
        <v>0</v>
      </c>
      <c r="M53" s="240">
        <f>16.81+10.1</f>
        <v>26.909999999999997</v>
      </c>
      <c r="N53" s="235">
        <f t="shared" si="5"/>
        <v>-3.642984000000009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332">
        <f t="shared" si="6"/>
        <v>49</v>
      </c>
      <c r="C54" s="337" t="s">
        <v>135</v>
      </c>
      <c r="D54" s="324" t="s">
        <v>83</v>
      </c>
      <c r="E54" s="52">
        <v>124</v>
      </c>
      <c r="F54" s="124">
        <v>6718.7</v>
      </c>
      <c r="G54" s="160">
        <v>6.48</v>
      </c>
      <c r="H54" s="168">
        <v>333</v>
      </c>
      <c r="I54" s="206"/>
      <c r="J54" s="185">
        <f>H54*66.132/1000</f>
        <v>22.021956000000003</v>
      </c>
      <c r="K54" s="163"/>
      <c r="L54" s="185">
        <f t="shared" si="2"/>
        <v>0</v>
      </c>
      <c r="M54" s="240">
        <f>15.37+10.09</f>
        <v>25.46</v>
      </c>
      <c r="N54" s="235">
        <f t="shared" si="5"/>
        <v>3.438043999999998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332">
        <f t="shared" si="6"/>
        <v>50</v>
      </c>
      <c r="C55" s="337" t="s">
        <v>136</v>
      </c>
      <c r="D55" s="324" t="s">
        <v>83</v>
      </c>
      <c r="E55" s="52">
        <v>128</v>
      </c>
      <c r="F55" s="124">
        <v>6706.5</v>
      </c>
      <c r="G55" s="160">
        <v>6.48</v>
      </c>
      <c r="H55" s="168">
        <v>299</v>
      </c>
      <c r="I55" s="206"/>
      <c r="J55" s="185">
        <f>H55*66.132/1000</f>
        <v>19.773468</v>
      </c>
      <c r="K55" s="163"/>
      <c r="L55" s="185">
        <f t="shared" si="2"/>
        <v>0</v>
      </c>
      <c r="M55" s="240">
        <f>11.09+10.61</f>
        <v>21.7</v>
      </c>
      <c r="N55" s="235">
        <f t="shared" si="5"/>
        <v>1.9265319999999981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31" ht="12.75" customHeight="1">
      <c r="B56" s="332">
        <v>51</v>
      </c>
      <c r="C56" s="337" t="s">
        <v>169</v>
      </c>
      <c r="D56" s="324" t="s">
        <v>83</v>
      </c>
      <c r="E56" s="52">
        <v>130</v>
      </c>
      <c r="F56" s="124">
        <v>6708.8</v>
      </c>
      <c r="G56" s="160">
        <v>6.48</v>
      </c>
      <c r="H56" s="168">
        <v>228</v>
      </c>
      <c r="I56" s="205"/>
      <c r="J56" s="185">
        <f>H56*66.132/1000</f>
        <v>15.078096000000002</v>
      </c>
      <c r="K56" s="163"/>
      <c r="L56" s="185">
        <f t="shared" si="2"/>
        <v>0</v>
      </c>
      <c r="M56" s="240">
        <f>7.83+8.36</f>
        <v>16.189999999999998</v>
      </c>
      <c r="N56" s="235">
        <f t="shared" si="5"/>
        <v>1.1119039999999956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0"/>
      <c r="AE56" s="1"/>
    </row>
    <row r="57" spans="2:28" ht="12.75" customHeight="1">
      <c r="B57" s="332">
        <v>52</v>
      </c>
      <c r="C57" s="337" t="s">
        <v>20</v>
      </c>
      <c r="D57" s="324" t="s">
        <v>83</v>
      </c>
      <c r="E57" s="52">
        <v>110</v>
      </c>
      <c r="F57" s="124">
        <v>11638.3</v>
      </c>
      <c r="G57" s="160">
        <v>7.26</v>
      </c>
      <c r="H57" s="168">
        <f>431+241</f>
        <v>672</v>
      </c>
      <c r="I57" s="185">
        <f aca="true" t="shared" si="8" ref="I57:I62">H57*66.132/1000</f>
        <v>44.440704000000004</v>
      </c>
      <c r="J57" s="113"/>
      <c r="K57" s="160"/>
      <c r="L57" s="185">
        <f t="shared" si="2"/>
        <v>0</v>
      </c>
      <c r="M57" s="240">
        <f>30.37+17.81</f>
        <v>48.18</v>
      </c>
      <c r="N57" s="235">
        <f t="shared" si="5"/>
        <v>3.739295999999996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332">
        <v>53</v>
      </c>
      <c r="C58" s="337" t="s">
        <v>21</v>
      </c>
      <c r="D58" s="324" t="s">
        <v>83</v>
      </c>
      <c r="E58" s="52">
        <v>114</v>
      </c>
      <c r="F58" s="124">
        <v>9185</v>
      </c>
      <c r="G58" s="160">
        <v>7.06</v>
      </c>
      <c r="H58" s="168">
        <f>408+251</f>
        <v>659</v>
      </c>
      <c r="I58" s="185">
        <f t="shared" si="8"/>
        <v>43.580988000000005</v>
      </c>
      <c r="J58" s="113"/>
      <c r="K58" s="160"/>
      <c r="L58" s="185">
        <f t="shared" si="2"/>
        <v>0</v>
      </c>
      <c r="M58" s="240">
        <f>28.97+18.96</f>
        <v>47.93</v>
      </c>
      <c r="N58" s="235">
        <f t="shared" si="5"/>
        <v>4.349011999999995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3"/>
    </row>
    <row r="59" spans="2:28" ht="12.75" customHeight="1">
      <c r="B59" s="332">
        <v>54</v>
      </c>
      <c r="C59" s="337" t="s">
        <v>22</v>
      </c>
      <c r="D59" s="324" t="s">
        <v>83</v>
      </c>
      <c r="E59" s="52">
        <v>118</v>
      </c>
      <c r="F59" s="124">
        <v>9190.4</v>
      </c>
      <c r="G59" s="160">
        <v>7.09</v>
      </c>
      <c r="H59" s="168">
        <f>373+215</f>
        <v>588</v>
      </c>
      <c r="I59" s="185">
        <f t="shared" si="8"/>
        <v>38.885616</v>
      </c>
      <c r="J59" s="113"/>
      <c r="K59" s="160"/>
      <c r="L59" s="185">
        <f t="shared" si="2"/>
        <v>0</v>
      </c>
      <c r="M59" s="240">
        <f>29.65+20.06</f>
        <v>49.709999999999994</v>
      </c>
      <c r="N59" s="235">
        <f t="shared" si="5"/>
        <v>10.824383999999995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0"/>
    </row>
    <row r="60" spans="2:28" ht="12.75" customHeight="1">
      <c r="B60" s="332">
        <v>55</v>
      </c>
      <c r="C60" s="337" t="s">
        <v>23</v>
      </c>
      <c r="D60" s="324" t="s">
        <v>83</v>
      </c>
      <c r="E60" s="52">
        <v>122</v>
      </c>
      <c r="F60" s="124">
        <v>9187.9</v>
      </c>
      <c r="G60" s="160">
        <v>5.76</v>
      </c>
      <c r="H60" s="168">
        <f>443+289</f>
        <v>732</v>
      </c>
      <c r="I60" s="185">
        <f t="shared" si="8"/>
        <v>48.408624</v>
      </c>
      <c r="J60" s="113"/>
      <c r="K60" s="160"/>
      <c r="L60" s="185">
        <f t="shared" si="2"/>
        <v>0</v>
      </c>
      <c r="M60" s="240">
        <f>28.04+18.02</f>
        <v>46.06</v>
      </c>
      <c r="N60" s="235">
        <f t="shared" si="5"/>
        <v>-2.348624000000001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3"/>
    </row>
    <row r="61" spans="2:28" ht="12.75" customHeight="1">
      <c r="B61" s="332">
        <v>56</v>
      </c>
      <c r="C61" s="337" t="s">
        <v>24</v>
      </c>
      <c r="D61" s="324" t="s">
        <v>83</v>
      </c>
      <c r="E61" s="52">
        <v>126</v>
      </c>
      <c r="F61" s="124">
        <v>9187.1</v>
      </c>
      <c r="G61" s="160">
        <v>6.36</v>
      </c>
      <c r="H61" s="168">
        <f>477+313</f>
        <v>790</v>
      </c>
      <c r="I61" s="185">
        <f t="shared" si="8"/>
        <v>52.24428</v>
      </c>
      <c r="J61" s="113"/>
      <c r="K61" s="160"/>
      <c r="L61" s="185">
        <f t="shared" si="2"/>
        <v>0</v>
      </c>
      <c r="M61" s="240">
        <f>29.23+18.76</f>
        <v>47.99</v>
      </c>
      <c r="N61" s="235">
        <f t="shared" si="5"/>
        <v>-4.254280000000001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0"/>
    </row>
    <row r="62" spans="2:28" ht="12.75" customHeight="1">
      <c r="B62" s="332">
        <v>57</v>
      </c>
      <c r="C62" s="337" t="s">
        <v>81</v>
      </c>
      <c r="D62" s="324" t="s">
        <v>79</v>
      </c>
      <c r="E62" s="52" t="s">
        <v>82</v>
      </c>
      <c r="F62" s="124">
        <v>6886.8</v>
      </c>
      <c r="G62" s="160">
        <v>6.76</v>
      </c>
      <c r="H62" s="168">
        <f>239+148</f>
        <v>387</v>
      </c>
      <c r="I62" s="185">
        <f t="shared" si="8"/>
        <v>25.593084</v>
      </c>
      <c r="J62" s="113"/>
      <c r="K62" s="160">
        <v>8</v>
      </c>
      <c r="L62" s="185">
        <f t="shared" si="2"/>
        <v>0.5290560000000001</v>
      </c>
      <c r="M62" s="160">
        <f>23.26+14.94</f>
        <v>38.2</v>
      </c>
      <c r="N62" s="235">
        <f t="shared" si="5"/>
        <v>12.077860000000001</v>
      </c>
      <c r="O62" s="75"/>
      <c r="P62" s="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3"/>
    </row>
    <row r="63" spans="2:32" ht="14.25" customHeight="1" thickBot="1">
      <c r="B63" s="332">
        <v>58</v>
      </c>
      <c r="C63" s="338" t="s">
        <v>78</v>
      </c>
      <c r="D63" s="328" t="s">
        <v>79</v>
      </c>
      <c r="E63" s="142" t="s">
        <v>80</v>
      </c>
      <c r="F63" s="129">
        <v>4261.1</v>
      </c>
      <c r="G63" s="173">
        <v>9.62</v>
      </c>
      <c r="H63" s="169">
        <f>141+101</f>
        <v>242</v>
      </c>
      <c r="I63" s="185">
        <f>H63*66.132/1000</f>
        <v>16.003944</v>
      </c>
      <c r="J63" s="113"/>
      <c r="K63" s="173"/>
      <c r="L63" s="185">
        <f t="shared" si="2"/>
        <v>0</v>
      </c>
      <c r="M63" s="251">
        <f>13.92+8.1</f>
        <v>22.02</v>
      </c>
      <c r="N63" s="235">
        <f t="shared" si="5"/>
        <v>6.016055999999999</v>
      </c>
      <c r="O63" s="76"/>
      <c r="P63" s="25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>
      <c r="B64" s="332">
        <v>59</v>
      </c>
      <c r="C64" s="338" t="s">
        <v>144</v>
      </c>
      <c r="D64" s="328" t="s">
        <v>101</v>
      </c>
      <c r="E64" s="142">
        <v>32</v>
      </c>
      <c r="F64" s="124">
        <v>28893.1</v>
      </c>
      <c r="G64" s="173">
        <v>8.06</v>
      </c>
      <c r="H64" s="169">
        <v>617</v>
      </c>
      <c r="I64" s="208"/>
      <c r="J64" s="185">
        <f>H64*66.132/1000</f>
        <v>40.803444000000006</v>
      </c>
      <c r="K64" s="228"/>
      <c r="L64" s="185">
        <f t="shared" si="2"/>
        <v>0</v>
      </c>
      <c r="M64" s="173">
        <f>28.44+30.33+22.39+19.91</f>
        <v>101.07</v>
      </c>
      <c r="N64" s="235">
        <f t="shared" si="5"/>
        <v>60.26655599999999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32" ht="14.25" customHeight="1">
      <c r="B65" s="332">
        <v>60</v>
      </c>
      <c r="C65" s="337" t="s">
        <v>145</v>
      </c>
      <c r="D65" s="324" t="s">
        <v>101</v>
      </c>
      <c r="E65" s="52">
        <v>36</v>
      </c>
      <c r="F65" s="129">
        <v>14015.8</v>
      </c>
      <c r="G65" s="160">
        <v>8.06</v>
      </c>
      <c r="H65" s="168">
        <v>334</v>
      </c>
      <c r="I65" s="206"/>
      <c r="J65" s="185">
        <f>H65*66.132/1000</f>
        <v>22.088088000000003</v>
      </c>
      <c r="K65" s="163"/>
      <c r="L65" s="185">
        <f t="shared" si="2"/>
        <v>0</v>
      </c>
      <c r="M65" s="240">
        <f>28.95+18.69</f>
        <v>47.64</v>
      </c>
      <c r="N65" s="250">
        <f t="shared" si="5"/>
        <v>25.551911999999998</v>
      </c>
      <c r="O65" s="145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2"/>
      <c r="AB65" s="20"/>
      <c r="AF65" s="1"/>
    </row>
    <row r="66" spans="2:32" ht="14.25" customHeight="1">
      <c r="B66" s="120">
        <v>61</v>
      </c>
      <c r="C66" s="337" t="s">
        <v>170</v>
      </c>
      <c r="D66" s="324" t="s">
        <v>171</v>
      </c>
      <c r="E66" s="52">
        <v>7</v>
      </c>
      <c r="F66" s="124">
        <v>12672.5</v>
      </c>
      <c r="G66" s="160">
        <v>8.06</v>
      </c>
      <c r="H66" s="168">
        <v>882</v>
      </c>
      <c r="I66" s="206"/>
      <c r="J66" s="185">
        <f>H66*66.132/1000</f>
        <v>58.328424000000005</v>
      </c>
      <c r="K66" s="163"/>
      <c r="L66" s="163"/>
      <c r="M66" s="240">
        <f>16.74+36.91</f>
        <v>53.64999999999999</v>
      </c>
      <c r="N66" s="250">
        <f t="shared" si="5"/>
        <v>-4.678424000000014</v>
      </c>
      <c r="O66" s="145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2"/>
      <c r="AB66" s="20"/>
      <c r="AF66" s="1"/>
    </row>
    <row r="67" spans="2:32" ht="14.25" customHeight="1" thickBot="1">
      <c r="B67" s="121">
        <v>62</v>
      </c>
      <c r="C67" s="339" t="s">
        <v>172</v>
      </c>
      <c r="D67" s="329" t="s">
        <v>173</v>
      </c>
      <c r="E67" s="317">
        <v>5</v>
      </c>
      <c r="F67" s="318">
        <v>11094.5</v>
      </c>
      <c r="G67" s="493">
        <v>8.06</v>
      </c>
      <c r="H67" s="319">
        <v>333</v>
      </c>
      <c r="I67" s="320"/>
      <c r="J67" s="185">
        <f>H67*66.132/1000</f>
        <v>22.021956000000003</v>
      </c>
      <c r="K67" s="321"/>
      <c r="L67" s="321"/>
      <c r="M67" s="322">
        <f>24.61+15.02</f>
        <v>39.629999999999995</v>
      </c>
      <c r="N67" s="250">
        <f t="shared" si="5"/>
        <v>17.608043999999992</v>
      </c>
      <c r="O67" s="145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2"/>
      <c r="AB67" s="20"/>
      <c r="AF67" s="1"/>
    </row>
    <row r="68" spans="2:14" ht="13.5" thickBot="1">
      <c r="B68" s="85"/>
      <c r="C68" s="10"/>
      <c r="D68" s="10"/>
      <c r="E68" s="8"/>
      <c r="F68" s="156">
        <f>SUM(F6:F67)</f>
        <v>629930.3</v>
      </c>
      <c r="G68" s="79"/>
      <c r="H68" s="245">
        <f aca="true" t="shared" si="9" ref="H68:N68">SUM(H6:H67)</f>
        <v>34183</v>
      </c>
      <c r="I68" s="245">
        <f t="shared" si="9"/>
        <v>1293.9387120000001</v>
      </c>
      <c r="J68" s="245">
        <f t="shared" si="9"/>
        <v>966.6514440000002</v>
      </c>
      <c r="K68" s="245">
        <f t="shared" si="9"/>
        <v>315</v>
      </c>
      <c r="L68" s="245">
        <f t="shared" si="9"/>
        <v>20.831580000000002</v>
      </c>
      <c r="M68" s="245">
        <f t="shared" si="9"/>
        <v>2897.109999999999</v>
      </c>
      <c r="N68" s="245">
        <f t="shared" si="9"/>
        <v>615.6882639999999</v>
      </c>
    </row>
    <row r="69" ht="12.75">
      <c r="F69" s="6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69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V18" sqref="V18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168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155</v>
      </c>
      <c r="J5" s="182" t="s">
        <v>156</v>
      </c>
      <c r="K5" s="182" t="s">
        <v>163</v>
      </c>
      <c r="L5" s="183" t="s">
        <v>164</v>
      </c>
      <c r="M5" s="182" t="s">
        <v>165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331">
        <v>1</v>
      </c>
      <c r="C6" s="333" t="s">
        <v>131</v>
      </c>
      <c r="D6" s="323" t="s">
        <v>98</v>
      </c>
      <c r="E6" s="46" t="s">
        <v>138</v>
      </c>
      <c r="F6" s="122">
        <v>6457.6</v>
      </c>
      <c r="G6" s="216">
        <v>7.39</v>
      </c>
      <c r="H6" s="193">
        <v>310</v>
      </c>
      <c r="I6" s="185">
        <f>H6*77.7/1000</f>
        <v>24.087</v>
      </c>
      <c r="J6" s="158"/>
      <c r="K6" s="162"/>
      <c r="L6" s="158"/>
      <c r="M6" s="235">
        <v>36.47</v>
      </c>
      <c r="N6" s="235">
        <f aca="true" t="shared" si="0" ref="N6:N37">M6-I6-J6-L6</f>
        <v>12.383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332">
        <f aca="true" t="shared" si="1" ref="B7:B38">B6+1</f>
        <v>2</v>
      </c>
      <c r="C7" s="334" t="s">
        <v>132</v>
      </c>
      <c r="D7" s="324" t="s">
        <v>98</v>
      </c>
      <c r="E7" s="52">
        <v>79</v>
      </c>
      <c r="F7" s="124">
        <v>12688.5</v>
      </c>
      <c r="G7" s="163">
        <v>8.06</v>
      </c>
      <c r="H7" s="166">
        <v>529</v>
      </c>
      <c r="I7" s="185">
        <f>H7*77.7/1000</f>
        <v>41.103300000000004</v>
      </c>
      <c r="J7" s="82"/>
      <c r="K7" s="163"/>
      <c r="L7" s="163">
        <f aca="true" t="shared" si="2" ref="L7:L38">K7*60.12/1000</f>
        <v>0</v>
      </c>
      <c r="M7" s="250">
        <v>71.7</v>
      </c>
      <c r="N7" s="235">
        <f t="shared" si="0"/>
        <v>30.5967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332">
        <f t="shared" si="1"/>
        <v>3</v>
      </c>
      <c r="C8" s="334" t="s">
        <v>133</v>
      </c>
      <c r="D8" s="325" t="s">
        <v>94</v>
      </c>
      <c r="E8" s="52" t="s">
        <v>137</v>
      </c>
      <c r="F8" s="124">
        <v>11181.7</v>
      </c>
      <c r="G8" s="163">
        <v>8.06</v>
      </c>
      <c r="H8" s="166">
        <v>311</v>
      </c>
      <c r="I8" s="185"/>
      <c r="J8" s="163">
        <f>H8*60.12/1000</f>
        <v>18.69732</v>
      </c>
      <c r="K8" s="163"/>
      <c r="L8" s="163">
        <f t="shared" si="2"/>
        <v>0</v>
      </c>
      <c r="M8" s="250">
        <v>7.31</v>
      </c>
      <c r="N8" s="235">
        <f t="shared" si="0"/>
        <v>-11.387320000000003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332">
        <f t="shared" si="1"/>
        <v>4</v>
      </c>
      <c r="C9" s="335" t="s">
        <v>71</v>
      </c>
      <c r="D9" s="325" t="s">
        <v>94</v>
      </c>
      <c r="E9" s="64" t="s">
        <v>95</v>
      </c>
      <c r="F9" s="155">
        <v>10509.4</v>
      </c>
      <c r="G9" s="159">
        <v>8.01</v>
      </c>
      <c r="H9" s="167">
        <v>123</v>
      </c>
      <c r="I9" s="205"/>
      <c r="J9" s="163">
        <f>H9*60.12/1000</f>
        <v>7.394759999999999</v>
      </c>
      <c r="K9" s="162"/>
      <c r="L9" s="163">
        <f t="shared" si="2"/>
        <v>0</v>
      </c>
      <c r="M9" s="237">
        <v>22.33</v>
      </c>
      <c r="N9" s="235">
        <f t="shared" si="0"/>
        <v>14.93524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332">
        <f t="shared" si="1"/>
        <v>5</v>
      </c>
      <c r="C10" s="336" t="s">
        <v>1</v>
      </c>
      <c r="D10" s="324" t="s">
        <v>96</v>
      </c>
      <c r="E10" s="47" t="s">
        <v>97</v>
      </c>
      <c r="F10" s="155">
        <v>9045.5</v>
      </c>
      <c r="G10" s="160">
        <v>6.8</v>
      </c>
      <c r="H10" s="167">
        <v>167</v>
      </c>
      <c r="I10" s="185">
        <f>H10*77.7/1000</f>
        <v>12.9759</v>
      </c>
      <c r="J10" s="115"/>
      <c r="K10" s="159"/>
      <c r="L10" s="163">
        <f t="shared" si="2"/>
        <v>0</v>
      </c>
      <c r="M10" s="237">
        <v>19.72</v>
      </c>
      <c r="N10" s="235">
        <f t="shared" si="0"/>
        <v>6.7440999999999995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332">
        <f t="shared" si="1"/>
        <v>6</v>
      </c>
      <c r="C11" s="337" t="s">
        <v>107</v>
      </c>
      <c r="D11" s="324" t="s">
        <v>108</v>
      </c>
      <c r="E11" s="47">
        <v>45</v>
      </c>
      <c r="F11" s="129">
        <v>7179.6</v>
      </c>
      <c r="G11" s="164">
        <v>7.83</v>
      </c>
      <c r="H11" s="211">
        <v>205</v>
      </c>
      <c r="I11" s="185">
        <f>H11*77.7/1000</f>
        <v>15.9285</v>
      </c>
      <c r="J11" s="83"/>
      <c r="K11" s="164"/>
      <c r="L11" s="163">
        <f t="shared" si="2"/>
        <v>0</v>
      </c>
      <c r="M11" s="250">
        <v>28.27</v>
      </c>
      <c r="N11" s="235">
        <f t="shared" si="0"/>
        <v>12.3415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332">
        <f t="shared" si="1"/>
        <v>7</v>
      </c>
      <c r="C12" s="337" t="s">
        <v>109</v>
      </c>
      <c r="D12" s="324" t="s">
        <v>108</v>
      </c>
      <c r="E12" s="47" t="s">
        <v>110</v>
      </c>
      <c r="F12" s="124">
        <v>7003.6</v>
      </c>
      <c r="G12" s="164">
        <v>7.47</v>
      </c>
      <c r="H12" s="211">
        <v>187</v>
      </c>
      <c r="I12" s="185">
        <f>H12*77.7/1000</f>
        <v>14.5299</v>
      </c>
      <c r="J12" s="83"/>
      <c r="K12" s="164"/>
      <c r="L12" s="163">
        <f t="shared" si="2"/>
        <v>0</v>
      </c>
      <c r="M12" s="250">
        <v>31.23</v>
      </c>
      <c r="N12" s="235">
        <f t="shared" si="0"/>
        <v>16.7001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332">
        <f t="shared" si="1"/>
        <v>8</v>
      </c>
      <c r="C13" s="337" t="s">
        <v>116</v>
      </c>
      <c r="D13" s="326" t="s">
        <v>117</v>
      </c>
      <c r="E13" s="47" t="s">
        <v>118</v>
      </c>
      <c r="F13" s="124">
        <v>6727.7</v>
      </c>
      <c r="G13" s="160">
        <v>6.16</v>
      </c>
      <c r="H13" s="168">
        <v>398</v>
      </c>
      <c r="I13" s="185">
        <f>H13*77.7/1000</f>
        <v>30.9246</v>
      </c>
      <c r="J13" s="113"/>
      <c r="K13" s="160"/>
      <c r="L13" s="163">
        <f t="shared" si="2"/>
        <v>0</v>
      </c>
      <c r="M13" s="240">
        <v>31.22</v>
      </c>
      <c r="N13" s="235">
        <f t="shared" si="0"/>
        <v>0.2953999999999972</v>
      </c>
      <c r="O13" s="75"/>
      <c r="P13" s="3"/>
    </row>
    <row r="14" spans="2:16" ht="12.75" customHeight="1">
      <c r="B14" s="332">
        <f t="shared" si="1"/>
        <v>9</v>
      </c>
      <c r="C14" s="337" t="s">
        <v>128</v>
      </c>
      <c r="D14" s="326" t="s">
        <v>101</v>
      </c>
      <c r="E14" s="47">
        <v>40</v>
      </c>
      <c r="F14" s="124">
        <v>4726.8</v>
      </c>
      <c r="G14" s="160">
        <v>8.06</v>
      </c>
      <c r="H14" s="168">
        <v>145</v>
      </c>
      <c r="I14" s="206"/>
      <c r="J14" s="163">
        <f aca="true" t="shared" si="3" ref="J14:J28">H14*60.12/1000</f>
        <v>8.7174</v>
      </c>
      <c r="K14" s="163"/>
      <c r="L14" s="163">
        <f t="shared" si="2"/>
        <v>0</v>
      </c>
      <c r="M14" s="240">
        <v>16.8</v>
      </c>
      <c r="N14" s="235">
        <f t="shared" si="0"/>
        <v>8.082600000000001</v>
      </c>
      <c r="O14" s="75"/>
      <c r="P14" s="3"/>
    </row>
    <row r="15" spans="2:16" ht="12.75" customHeight="1">
      <c r="B15" s="332">
        <f t="shared" si="1"/>
        <v>10</v>
      </c>
      <c r="C15" s="337" t="s">
        <v>129</v>
      </c>
      <c r="D15" s="326" t="s">
        <v>101</v>
      </c>
      <c r="E15" s="47">
        <v>42</v>
      </c>
      <c r="F15" s="124">
        <v>4730.4</v>
      </c>
      <c r="G15" s="160">
        <v>8.06</v>
      </c>
      <c r="H15" s="168">
        <v>273</v>
      </c>
      <c r="I15" s="206"/>
      <c r="J15" s="163">
        <f t="shared" si="3"/>
        <v>16.41276</v>
      </c>
      <c r="K15" s="163"/>
      <c r="L15" s="163">
        <f t="shared" si="2"/>
        <v>0</v>
      </c>
      <c r="M15" s="240">
        <v>18.9</v>
      </c>
      <c r="N15" s="235">
        <f t="shared" si="0"/>
        <v>2.48724</v>
      </c>
      <c r="O15" s="75"/>
      <c r="P15" s="3"/>
    </row>
    <row r="16" spans="2:16" ht="12.75" customHeight="1">
      <c r="B16" s="332">
        <f t="shared" si="1"/>
        <v>11</v>
      </c>
      <c r="C16" s="337" t="s">
        <v>130</v>
      </c>
      <c r="D16" s="326" t="s">
        <v>101</v>
      </c>
      <c r="E16" s="47">
        <v>44</v>
      </c>
      <c r="F16" s="124">
        <v>4727.7</v>
      </c>
      <c r="G16" s="160">
        <v>8.06</v>
      </c>
      <c r="H16" s="168">
        <v>120</v>
      </c>
      <c r="I16" s="206"/>
      <c r="J16" s="163">
        <f t="shared" si="3"/>
        <v>7.2143999999999995</v>
      </c>
      <c r="K16" s="163"/>
      <c r="L16" s="163">
        <f t="shared" si="2"/>
        <v>0</v>
      </c>
      <c r="M16" s="240">
        <v>19.36</v>
      </c>
      <c r="N16" s="235">
        <f t="shared" si="0"/>
        <v>12.1456</v>
      </c>
      <c r="O16" s="75"/>
      <c r="P16" s="3"/>
    </row>
    <row r="17" spans="2:16" ht="12.75" customHeight="1">
      <c r="B17" s="332">
        <f t="shared" si="1"/>
        <v>12</v>
      </c>
      <c r="C17" s="337" t="s">
        <v>120</v>
      </c>
      <c r="D17" s="326" t="s">
        <v>111</v>
      </c>
      <c r="E17" s="47">
        <v>11</v>
      </c>
      <c r="F17" s="124">
        <v>10656</v>
      </c>
      <c r="G17" s="160">
        <v>8.06</v>
      </c>
      <c r="H17" s="168">
        <v>619</v>
      </c>
      <c r="I17" s="206"/>
      <c r="J17" s="163">
        <f t="shared" si="3"/>
        <v>37.21428</v>
      </c>
      <c r="K17" s="163"/>
      <c r="L17" s="163">
        <f t="shared" si="2"/>
        <v>0</v>
      </c>
      <c r="M17" s="240">
        <v>31.01</v>
      </c>
      <c r="N17" s="235">
        <f t="shared" si="0"/>
        <v>-6.204280000000001</v>
      </c>
      <c r="O17" s="75"/>
      <c r="P17" s="32"/>
    </row>
    <row r="18" spans="2:28" ht="12.75" customHeight="1">
      <c r="B18" s="332">
        <f t="shared" si="1"/>
        <v>13</v>
      </c>
      <c r="C18" s="337" t="s">
        <v>61</v>
      </c>
      <c r="D18" s="326" t="s">
        <v>101</v>
      </c>
      <c r="E18" s="47">
        <v>13</v>
      </c>
      <c r="F18" s="124">
        <v>3545.7</v>
      </c>
      <c r="G18" s="165">
        <v>8.2</v>
      </c>
      <c r="H18" s="78">
        <v>263</v>
      </c>
      <c r="I18" s="207"/>
      <c r="J18" s="163">
        <f t="shared" si="3"/>
        <v>15.81156</v>
      </c>
      <c r="K18" s="163"/>
      <c r="L18" s="163">
        <f t="shared" si="2"/>
        <v>0</v>
      </c>
      <c r="M18" s="250">
        <v>13.68</v>
      </c>
      <c r="N18" s="235">
        <f t="shared" si="0"/>
        <v>-2.1315600000000003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332">
        <f t="shared" si="1"/>
        <v>14</v>
      </c>
      <c r="C19" s="337" t="s">
        <v>62</v>
      </c>
      <c r="D19" s="326" t="s">
        <v>101</v>
      </c>
      <c r="E19" s="47">
        <v>15</v>
      </c>
      <c r="F19" s="124">
        <v>3547.1</v>
      </c>
      <c r="G19" s="165">
        <v>8.42</v>
      </c>
      <c r="H19" s="78">
        <v>241</v>
      </c>
      <c r="I19" s="207"/>
      <c r="J19" s="163">
        <f t="shared" si="3"/>
        <v>14.48892</v>
      </c>
      <c r="K19" s="163"/>
      <c r="L19" s="163">
        <f t="shared" si="2"/>
        <v>0</v>
      </c>
      <c r="M19" s="250">
        <v>12.64</v>
      </c>
      <c r="N19" s="235">
        <f t="shared" si="0"/>
        <v>-1.8489199999999997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332">
        <f t="shared" si="1"/>
        <v>15</v>
      </c>
      <c r="C20" s="337" t="s">
        <v>67</v>
      </c>
      <c r="D20" s="326" t="s">
        <v>101</v>
      </c>
      <c r="E20" s="47" t="s">
        <v>102</v>
      </c>
      <c r="F20" s="124">
        <v>3524.6</v>
      </c>
      <c r="G20" s="160">
        <v>8.06</v>
      </c>
      <c r="H20" s="168">
        <v>226</v>
      </c>
      <c r="I20" s="206"/>
      <c r="J20" s="163">
        <f t="shared" si="3"/>
        <v>13.587119999999999</v>
      </c>
      <c r="K20" s="163"/>
      <c r="L20" s="163">
        <f t="shared" si="2"/>
        <v>0</v>
      </c>
      <c r="M20" s="250">
        <v>9.87</v>
      </c>
      <c r="N20" s="235">
        <f t="shared" si="0"/>
        <v>-3.7171199999999995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332">
        <f t="shared" si="1"/>
        <v>16</v>
      </c>
      <c r="C21" s="337" t="s">
        <v>126</v>
      </c>
      <c r="D21" s="326" t="s">
        <v>167</v>
      </c>
      <c r="E21" s="47">
        <v>7</v>
      </c>
      <c r="F21" s="124">
        <v>16614.4</v>
      </c>
      <c r="G21" s="160">
        <v>8.06</v>
      </c>
      <c r="H21" s="168">
        <v>613</v>
      </c>
      <c r="I21" s="206"/>
      <c r="J21" s="163">
        <f t="shared" si="3"/>
        <v>36.853559999999995</v>
      </c>
      <c r="K21" s="163"/>
      <c r="L21" s="163">
        <f t="shared" si="2"/>
        <v>0</v>
      </c>
      <c r="M21" s="250">
        <f>33.41+29.08</f>
        <v>62.489999999999995</v>
      </c>
      <c r="N21" s="235">
        <f t="shared" si="0"/>
        <v>25.63644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332">
        <f t="shared" si="1"/>
        <v>17</v>
      </c>
      <c r="C22" s="337" t="s">
        <v>68</v>
      </c>
      <c r="D22" s="326" t="s">
        <v>111</v>
      </c>
      <c r="E22" s="51" t="s">
        <v>112</v>
      </c>
      <c r="F22" s="124">
        <v>14948.6</v>
      </c>
      <c r="G22" s="160">
        <v>7.72</v>
      </c>
      <c r="H22" s="168">
        <v>777</v>
      </c>
      <c r="I22" s="206"/>
      <c r="J22" s="163">
        <f t="shared" si="3"/>
        <v>46.71324</v>
      </c>
      <c r="K22" s="163"/>
      <c r="L22" s="163">
        <f t="shared" si="2"/>
        <v>0</v>
      </c>
      <c r="M22" s="250">
        <v>47.77</v>
      </c>
      <c r="N22" s="235">
        <f t="shared" si="0"/>
        <v>1.0567600000000041</v>
      </c>
      <c r="O22" s="75"/>
      <c r="P22" s="3"/>
    </row>
    <row r="23" spans="2:16" ht="12.75" customHeight="1">
      <c r="B23" s="332">
        <f t="shared" si="1"/>
        <v>18</v>
      </c>
      <c r="C23" s="494" t="s">
        <v>148</v>
      </c>
      <c r="D23" s="326" t="s">
        <v>101</v>
      </c>
      <c r="E23" s="51" t="s">
        <v>149</v>
      </c>
      <c r="F23" s="124">
        <v>8832.7</v>
      </c>
      <c r="G23" s="160">
        <v>8.06</v>
      </c>
      <c r="H23" s="168">
        <v>163</v>
      </c>
      <c r="I23" s="206"/>
      <c r="J23" s="163">
        <f t="shared" si="3"/>
        <v>9.79956</v>
      </c>
      <c r="K23" s="163"/>
      <c r="L23" s="163">
        <f t="shared" si="2"/>
        <v>0</v>
      </c>
      <c r="M23" s="250">
        <f>14.14+15.24</f>
        <v>29.380000000000003</v>
      </c>
      <c r="N23" s="235">
        <f t="shared" si="0"/>
        <v>19.580440000000003</v>
      </c>
      <c r="O23" s="75"/>
      <c r="P23" s="3"/>
    </row>
    <row r="24" spans="2:28" ht="12.75" customHeight="1">
      <c r="B24" s="332">
        <f t="shared" si="1"/>
        <v>19</v>
      </c>
      <c r="C24" s="494" t="s">
        <v>59</v>
      </c>
      <c r="D24" s="326" t="s">
        <v>101</v>
      </c>
      <c r="E24" s="52">
        <v>21</v>
      </c>
      <c r="F24" s="124">
        <v>19523.1</v>
      </c>
      <c r="G24" s="165">
        <v>6.7</v>
      </c>
      <c r="H24" s="78">
        <v>804</v>
      </c>
      <c r="I24" s="207"/>
      <c r="J24" s="163">
        <f t="shared" si="3"/>
        <v>48.336479999999995</v>
      </c>
      <c r="K24" s="163"/>
      <c r="L24" s="163">
        <f t="shared" si="2"/>
        <v>0</v>
      </c>
      <c r="M24" s="250">
        <f>23.35+33.61</f>
        <v>56.96</v>
      </c>
      <c r="N24" s="235">
        <f t="shared" si="0"/>
        <v>8.623520000000006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332">
        <f t="shared" si="1"/>
        <v>20</v>
      </c>
      <c r="C25" s="494" t="s">
        <v>104</v>
      </c>
      <c r="D25" s="326" t="s">
        <v>101</v>
      </c>
      <c r="E25" s="52">
        <v>23</v>
      </c>
      <c r="F25" s="131">
        <v>18481.1</v>
      </c>
      <c r="G25" s="160">
        <v>7.1</v>
      </c>
      <c r="H25" s="168">
        <v>846</v>
      </c>
      <c r="I25" s="206"/>
      <c r="J25" s="163">
        <f t="shared" si="3"/>
        <v>50.86152</v>
      </c>
      <c r="K25" s="280">
        <v>10</v>
      </c>
      <c r="L25" s="163">
        <f t="shared" si="2"/>
        <v>0.6012</v>
      </c>
      <c r="M25" s="242">
        <f>26.18+29.2</f>
        <v>55.379999999999995</v>
      </c>
      <c r="N25" s="235">
        <f t="shared" si="0"/>
        <v>3.9172799999999968</v>
      </c>
      <c r="O25" s="75"/>
      <c r="P25" s="3"/>
      <c r="Q25" s="374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332">
        <f t="shared" si="1"/>
        <v>21</v>
      </c>
      <c r="C26" s="494" t="s">
        <v>105</v>
      </c>
      <c r="D26" s="326" t="s">
        <v>101</v>
      </c>
      <c r="E26" s="52">
        <v>25</v>
      </c>
      <c r="F26" s="124">
        <v>18464.4</v>
      </c>
      <c r="G26" s="160">
        <v>7.2</v>
      </c>
      <c r="H26" s="168">
        <v>1071</v>
      </c>
      <c r="I26" s="206"/>
      <c r="J26" s="163">
        <f t="shared" si="3"/>
        <v>64.38852</v>
      </c>
      <c r="K26" s="280"/>
      <c r="L26" s="163">
        <f t="shared" si="2"/>
        <v>0</v>
      </c>
      <c r="M26" s="242">
        <f>29.1+29.06</f>
        <v>58.16</v>
      </c>
      <c r="N26" s="235">
        <f t="shared" si="0"/>
        <v>-6.228520000000003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332">
        <f t="shared" si="1"/>
        <v>22</v>
      </c>
      <c r="C27" s="494" t="s">
        <v>103</v>
      </c>
      <c r="D27" s="324" t="s">
        <v>101</v>
      </c>
      <c r="E27" s="52">
        <v>17</v>
      </c>
      <c r="F27" s="124">
        <v>30266.3</v>
      </c>
      <c r="G27" s="165">
        <v>6.59</v>
      </c>
      <c r="H27" s="78">
        <v>1422</v>
      </c>
      <c r="I27" s="207"/>
      <c r="J27" s="163">
        <f t="shared" si="3"/>
        <v>85.49064</v>
      </c>
      <c r="K27" s="280"/>
      <c r="L27" s="163">
        <f t="shared" si="2"/>
        <v>0</v>
      </c>
      <c r="M27" s="242">
        <f>23.49+47.05+24.72</f>
        <v>95.25999999999999</v>
      </c>
      <c r="N27" s="235">
        <f t="shared" si="0"/>
        <v>9.769359999999992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7" ht="12.75" customHeight="1">
      <c r="B28" s="332">
        <f t="shared" si="1"/>
        <v>23</v>
      </c>
      <c r="C28" s="494" t="s">
        <v>65</v>
      </c>
      <c r="D28" s="324" t="s">
        <v>113</v>
      </c>
      <c r="E28" s="52">
        <v>19</v>
      </c>
      <c r="F28" s="124">
        <v>24146</v>
      </c>
      <c r="G28" s="160">
        <v>6.61</v>
      </c>
      <c r="H28" s="168">
        <v>1246</v>
      </c>
      <c r="I28" s="206"/>
      <c r="J28" s="163">
        <f t="shared" si="3"/>
        <v>74.90952</v>
      </c>
      <c r="K28" s="200">
        <v>13</v>
      </c>
      <c r="L28" s="163">
        <f t="shared" si="2"/>
        <v>0.7815599999999999</v>
      </c>
      <c r="M28" s="242">
        <f>35.79+29.91</f>
        <v>65.7</v>
      </c>
      <c r="N28" s="235">
        <f t="shared" si="0"/>
        <v>-9.991079999999998</v>
      </c>
      <c r="O28" s="75"/>
      <c r="P28" s="3"/>
      <c r="Q28" s="281"/>
    </row>
    <row r="29" spans="2:28" ht="12.75" customHeight="1">
      <c r="B29" s="332">
        <f t="shared" si="1"/>
        <v>24</v>
      </c>
      <c r="C29" s="494" t="s">
        <v>63</v>
      </c>
      <c r="D29" s="326" t="s">
        <v>101</v>
      </c>
      <c r="E29" s="52">
        <v>29</v>
      </c>
      <c r="F29" s="124">
        <v>20258.6</v>
      </c>
      <c r="G29" s="160">
        <v>6.78</v>
      </c>
      <c r="H29" s="168">
        <v>1019</v>
      </c>
      <c r="I29" s="185">
        <f aca="true" t="shared" si="4" ref="I29:I44">H29*77.7/1000</f>
        <v>79.1763</v>
      </c>
      <c r="J29" s="160"/>
      <c r="K29" s="200">
        <v>13</v>
      </c>
      <c r="L29" s="163">
        <f t="shared" si="2"/>
        <v>0.7815599999999999</v>
      </c>
      <c r="M29" s="240">
        <f>28.87+47.84</f>
        <v>76.71000000000001</v>
      </c>
      <c r="N29" s="235">
        <f t="shared" si="0"/>
        <v>-3.2478599999999895</v>
      </c>
      <c r="O29" s="75"/>
      <c r="P29" s="3"/>
      <c r="Q29" s="374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332">
        <f t="shared" si="1"/>
        <v>25</v>
      </c>
      <c r="C30" s="494" t="s">
        <v>55</v>
      </c>
      <c r="D30" s="324" t="s">
        <v>101</v>
      </c>
      <c r="E30" s="52">
        <v>31</v>
      </c>
      <c r="F30" s="124">
        <v>6735.1</v>
      </c>
      <c r="G30" s="160">
        <v>7.01</v>
      </c>
      <c r="H30" s="168">
        <v>320</v>
      </c>
      <c r="I30" s="185">
        <f t="shared" si="4"/>
        <v>24.864</v>
      </c>
      <c r="J30" s="160"/>
      <c r="K30" s="160"/>
      <c r="L30" s="163">
        <f t="shared" si="2"/>
        <v>0</v>
      </c>
      <c r="M30" s="240">
        <v>29.06</v>
      </c>
      <c r="N30" s="235">
        <f t="shared" si="0"/>
        <v>4.195999999999998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332">
        <f t="shared" si="1"/>
        <v>26</v>
      </c>
      <c r="C31" s="337" t="s">
        <v>84</v>
      </c>
      <c r="D31" s="324" t="s">
        <v>85</v>
      </c>
      <c r="E31" s="52">
        <v>27</v>
      </c>
      <c r="F31" s="124">
        <v>13989.3</v>
      </c>
      <c r="G31" s="160">
        <v>6.35</v>
      </c>
      <c r="H31" s="168">
        <f>479+399</f>
        <v>878</v>
      </c>
      <c r="I31" s="185">
        <f t="shared" si="4"/>
        <v>68.2206</v>
      </c>
      <c r="J31" s="160"/>
      <c r="K31" s="160"/>
      <c r="L31" s="163">
        <f t="shared" si="2"/>
        <v>0</v>
      </c>
      <c r="M31" s="240">
        <f>27.59+40.06</f>
        <v>67.65</v>
      </c>
      <c r="N31" s="235">
        <f t="shared" si="0"/>
        <v>-0.5705999999999989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332">
        <f t="shared" si="1"/>
        <v>27</v>
      </c>
      <c r="C32" s="337" t="s">
        <v>2</v>
      </c>
      <c r="D32" s="324" t="s">
        <v>85</v>
      </c>
      <c r="E32" s="52">
        <v>29</v>
      </c>
      <c r="F32" s="124">
        <v>13695.4</v>
      </c>
      <c r="G32" s="160">
        <v>6.44</v>
      </c>
      <c r="H32" s="168">
        <v>666</v>
      </c>
      <c r="I32" s="185">
        <f t="shared" si="4"/>
        <v>51.748200000000004</v>
      </c>
      <c r="J32" s="113"/>
      <c r="K32" s="160">
        <v>6</v>
      </c>
      <c r="L32" s="163">
        <f t="shared" si="2"/>
        <v>0.36072</v>
      </c>
      <c r="M32" s="240">
        <v>62</v>
      </c>
      <c r="N32" s="235">
        <f t="shared" si="0"/>
        <v>9.891079999999995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332">
        <f t="shared" si="1"/>
        <v>28</v>
      </c>
      <c r="C33" s="337" t="s">
        <v>3</v>
      </c>
      <c r="D33" s="324" t="s">
        <v>85</v>
      </c>
      <c r="E33" s="52">
        <v>31</v>
      </c>
      <c r="F33" s="124">
        <v>6360.3</v>
      </c>
      <c r="G33" s="160">
        <v>8.28</v>
      </c>
      <c r="H33" s="168">
        <v>328</v>
      </c>
      <c r="I33" s="185">
        <f t="shared" si="4"/>
        <v>25.4856</v>
      </c>
      <c r="J33" s="113"/>
      <c r="K33" s="160">
        <v>2</v>
      </c>
      <c r="L33" s="163">
        <f t="shared" si="2"/>
        <v>0.12024</v>
      </c>
      <c r="M33" s="240">
        <v>37.86</v>
      </c>
      <c r="N33" s="235">
        <f t="shared" si="0"/>
        <v>12.254159999999997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332">
        <f t="shared" si="1"/>
        <v>29</v>
      </c>
      <c r="C34" s="337" t="s">
        <v>4</v>
      </c>
      <c r="D34" s="324" t="s">
        <v>113</v>
      </c>
      <c r="E34" s="52" t="s">
        <v>114</v>
      </c>
      <c r="F34" s="124">
        <v>12946.5</v>
      </c>
      <c r="G34" s="160">
        <v>7.09</v>
      </c>
      <c r="H34" s="168">
        <v>484</v>
      </c>
      <c r="I34" s="185">
        <f t="shared" si="4"/>
        <v>37.6068</v>
      </c>
      <c r="J34" s="113"/>
      <c r="K34" s="160">
        <v>6</v>
      </c>
      <c r="L34" s="163">
        <f t="shared" si="2"/>
        <v>0.36072</v>
      </c>
      <c r="M34" s="240">
        <v>54.11</v>
      </c>
      <c r="N34" s="235">
        <f t="shared" si="0"/>
        <v>16.14248</v>
      </c>
      <c r="O34" s="75"/>
      <c r="P34" s="3"/>
    </row>
    <row r="35" spans="2:16" ht="12.75" customHeight="1">
      <c r="B35" s="332">
        <f t="shared" si="1"/>
        <v>30</v>
      </c>
      <c r="C35" s="337" t="s">
        <v>5</v>
      </c>
      <c r="D35" s="324" t="s">
        <v>113</v>
      </c>
      <c r="E35" s="52">
        <v>35</v>
      </c>
      <c r="F35" s="124">
        <v>12207.7</v>
      </c>
      <c r="G35" s="160">
        <v>7.12</v>
      </c>
      <c r="H35" s="168">
        <v>567</v>
      </c>
      <c r="I35" s="185">
        <f t="shared" si="4"/>
        <v>44.0559</v>
      </c>
      <c r="J35" s="113"/>
      <c r="K35" s="160"/>
      <c r="L35" s="163">
        <f t="shared" si="2"/>
        <v>0</v>
      </c>
      <c r="M35" s="240">
        <v>47.95</v>
      </c>
      <c r="N35" s="235">
        <f t="shared" si="0"/>
        <v>3.8941000000000017</v>
      </c>
      <c r="O35" s="75"/>
      <c r="P35" s="3"/>
    </row>
    <row r="36" spans="2:16" ht="12.75" customHeight="1">
      <c r="B36" s="332">
        <f t="shared" si="1"/>
        <v>31</v>
      </c>
      <c r="C36" s="337" t="s">
        <v>6</v>
      </c>
      <c r="D36" s="324" t="s">
        <v>113</v>
      </c>
      <c r="E36" s="52">
        <v>39</v>
      </c>
      <c r="F36" s="124">
        <v>4902.2</v>
      </c>
      <c r="G36" s="160">
        <v>6.51</v>
      </c>
      <c r="H36" s="168">
        <v>251</v>
      </c>
      <c r="I36" s="185">
        <f t="shared" si="4"/>
        <v>19.5027</v>
      </c>
      <c r="J36" s="113"/>
      <c r="K36" s="160"/>
      <c r="L36" s="163">
        <f t="shared" si="2"/>
        <v>0</v>
      </c>
      <c r="M36" s="240">
        <v>22.21</v>
      </c>
      <c r="N36" s="235">
        <f t="shared" si="0"/>
        <v>2.7073</v>
      </c>
      <c r="O36" s="75"/>
      <c r="P36" s="3"/>
    </row>
    <row r="37" spans="2:28" ht="12.75" customHeight="1">
      <c r="B37" s="332">
        <f t="shared" si="1"/>
        <v>32</v>
      </c>
      <c r="C37" s="337" t="s">
        <v>64</v>
      </c>
      <c r="D37" s="324" t="s">
        <v>101</v>
      </c>
      <c r="E37" s="52">
        <v>33</v>
      </c>
      <c r="F37" s="124">
        <v>19674.8</v>
      </c>
      <c r="G37" s="160">
        <v>6.92</v>
      </c>
      <c r="H37" s="168">
        <v>887</v>
      </c>
      <c r="I37" s="185">
        <f t="shared" si="4"/>
        <v>68.91990000000001</v>
      </c>
      <c r="J37" s="160"/>
      <c r="K37" s="160">
        <v>2</v>
      </c>
      <c r="L37" s="163">
        <f t="shared" si="2"/>
        <v>0.12024</v>
      </c>
      <c r="M37" s="240">
        <f>45.98+40.68</f>
        <v>86.66</v>
      </c>
      <c r="N37" s="235">
        <f t="shared" si="0"/>
        <v>17.619859999999985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332">
        <f t="shared" si="1"/>
        <v>33</v>
      </c>
      <c r="C38" s="337" t="s">
        <v>7</v>
      </c>
      <c r="D38" s="324" t="s">
        <v>101</v>
      </c>
      <c r="E38" s="52">
        <v>35</v>
      </c>
      <c r="F38" s="124">
        <v>10939</v>
      </c>
      <c r="G38" s="160">
        <v>7.72</v>
      </c>
      <c r="H38" s="168">
        <v>563</v>
      </c>
      <c r="I38" s="185">
        <f t="shared" si="4"/>
        <v>43.7451</v>
      </c>
      <c r="J38" s="113"/>
      <c r="K38" s="160"/>
      <c r="L38" s="163">
        <f t="shared" si="2"/>
        <v>0</v>
      </c>
      <c r="M38" s="240">
        <v>49.18</v>
      </c>
      <c r="N38" s="235">
        <f aca="true" t="shared" si="5" ref="N38:N67">M38-I38-J38-L38</f>
        <v>5.434899999999999</v>
      </c>
      <c r="O38" s="75"/>
      <c r="P38" s="3"/>
    </row>
    <row r="39" spans="2:28" ht="12.75" customHeight="1">
      <c r="B39" s="332">
        <f aca="true" t="shared" si="6" ref="B39:B55">B38+1</f>
        <v>34</v>
      </c>
      <c r="C39" s="337" t="s">
        <v>8</v>
      </c>
      <c r="D39" s="324" t="s">
        <v>85</v>
      </c>
      <c r="E39" s="52">
        <v>33</v>
      </c>
      <c r="F39" s="124">
        <v>6730.4</v>
      </c>
      <c r="G39" s="160">
        <v>8.49</v>
      </c>
      <c r="H39" s="168">
        <v>356</v>
      </c>
      <c r="I39" s="185">
        <f t="shared" si="4"/>
        <v>27.6612</v>
      </c>
      <c r="J39" s="113"/>
      <c r="K39" s="160"/>
      <c r="L39" s="163">
        <f aca="true" t="shared" si="7" ref="L39:L65">K39*60.12/1000</f>
        <v>0</v>
      </c>
      <c r="M39" s="240">
        <v>45.74</v>
      </c>
      <c r="N39" s="235">
        <f t="shared" si="5"/>
        <v>18.0788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332">
        <f t="shared" si="6"/>
        <v>35</v>
      </c>
      <c r="C40" s="337" t="s">
        <v>9</v>
      </c>
      <c r="D40" s="326" t="s">
        <v>101</v>
      </c>
      <c r="E40" s="52">
        <v>45</v>
      </c>
      <c r="F40" s="124">
        <v>6586.2</v>
      </c>
      <c r="G40" s="164">
        <v>6</v>
      </c>
      <c r="H40" s="211">
        <v>353</v>
      </c>
      <c r="I40" s="185">
        <f t="shared" si="4"/>
        <v>27.4281</v>
      </c>
      <c r="J40" s="83"/>
      <c r="K40" s="164"/>
      <c r="L40" s="163">
        <f t="shared" si="7"/>
        <v>0</v>
      </c>
      <c r="M40" s="240">
        <v>34.14</v>
      </c>
      <c r="N40" s="235">
        <f t="shared" si="5"/>
        <v>6.7119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332">
        <f t="shared" si="6"/>
        <v>36</v>
      </c>
      <c r="C41" s="337" t="s">
        <v>10</v>
      </c>
      <c r="D41" s="324" t="s">
        <v>113</v>
      </c>
      <c r="E41" s="52" t="s">
        <v>115</v>
      </c>
      <c r="F41" s="124">
        <v>2378.8</v>
      </c>
      <c r="G41" s="160">
        <v>9.9</v>
      </c>
      <c r="H41" s="168">
        <v>120</v>
      </c>
      <c r="I41" s="185">
        <f t="shared" si="4"/>
        <v>9.324</v>
      </c>
      <c r="J41" s="113"/>
      <c r="K41" s="160">
        <v>2</v>
      </c>
      <c r="L41" s="163">
        <f t="shared" si="7"/>
        <v>0.12024</v>
      </c>
      <c r="M41" s="240">
        <v>16.07</v>
      </c>
      <c r="N41" s="235">
        <f t="shared" si="5"/>
        <v>6.6257600000000005</v>
      </c>
      <c r="O41" s="75"/>
      <c r="P41" s="3"/>
    </row>
    <row r="42" spans="2:28" ht="12.75" customHeight="1">
      <c r="B42" s="332">
        <f t="shared" si="6"/>
        <v>37</v>
      </c>
      <c r="C42" s="337" t="s">
        <v>100</v>
      </c>
      <c r="D42" s="324" t="s">
        <v>98</v>
      </c>
      <c r="E42" s="52">
        <v>138</v>
      </c>
      <c r="F42" s="124">
        <v>7175.7</v>
      </c>
      <c r="G42" s="160">
        <v>9.51</v>
      </c>
      <c r="H42" s="168">
        <v>323</v>
      </c>
      <c r="I42" s="185">
        <f t="shared" si="4"/>
        <v>25.0971</v>
      </c>
      <c r="J42" s="113"/>
      <c r="K42" s="160">
        <v>9</v>
      </c>
      <c r="L42" s="163">
        <f t="shared" si="7"/>
        <v>0.5410799999999999</v>
      </c>
      <c r="M42" s="240">
        <v>31.63</v>
      </c>
      <c r="N42" s="235">
        <f t="shared" si="5"/>
        <v>5.991819999999998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332">
        <f t="shared" si="6"/>
        <v>38</v>
      </c>
      <c r="C43" s="494" t="s">
        <v>58</v>
      </c>
      <c r="D43" s="327" t="s">
        <v>98</v>
      </c>
      <c r="E43" s="53" t="s">
        <v>99</v>
      </c>
      <c r="F43" s="131">
        <v>4256.7</v>
      </c>
      <c r="G43" s="160">
        <v>8.06</v>
      </c>
      <c r="H43" s="168">
        <v>169</v>
      </c>
      <c r="I43" s="185">
        <f t="shared" si="4"/>
        <v>13.131300000000001</v>
      </c>
      <c r="J43" s="160"/>
      <c r="K43" s="160"/>
      <c r="L43" s="163">
        <f t="shared" si="7"/>
        <v>0</v>
      </c>
      <c r="M43" s="280">
        <v>24.27</v>
      </c>
      <c r="N43" s="235">
        <f t="shared" si="5"/>
        <v>11.138699999999998</v>
      </c>
      <c r="O43" s="75"/>
      <c r="P43" s="3"/>
      <c r="Q43" s="252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332">
        <f t="shared" si="6"/>
        <v>39</v>
      </c>
      <c r="C44" s="337" t="s">
        <v>12</v>
      </c>
      <c r="D44" s="324" t="s">
        <v>75</v>
      </c>
      <c r="E44" s="52">
        <v>59</v>
      </c>
      <c r="F44" s="124">
        <v>5797</v>
      </c>
      <c r="G44" s="160">
        <v>8.87</v>
      </c>
      <c r="H44" s="168">
        <v>357</v>
      </c>
      <c r="I44" s="185">
        <f t="shared" si="4"/>
        <v>27.7389</v>
      </c>
      <c r="J44" s="161"/>
      <c r="K44" s="160"/>
      <c r="L44" s="163">
        <f t="shared" si="7"/>
        <v>0</v>
      </c>
      <c r="M44" s="240">
        <v>25.94</v>
      </c>
      <c r="N44" s="235">
        <f t="shared" si="5"/>
        <v>-1.7988999999999997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332">
        <f t="shared" si="6"/>
        <v>40</v>
      </c>
      <c r="C45" s="337" t="s">
        <v>134</v>
      </c>
      <c r="D45" s="324" t="s">
        <v>75</v>
      </c>
      <c r="E45" s="52" t="s">
        <v>115</v>
      </c>
      <c r="F45" s="124">
        <v>5325.4</v>
      </c>
      <c r="G45" s="160">
        <v>8.06</v>
      </c>
      <c r="H45" s="168">
        <v>61</v>
      </c>
      <c r="I45" s="206"/>
      <c r="J45" s="163">
        <f>H45*60.12/1000</f>
        <v>3.6673199999999997</v>
      </c>
      <c r="K45" s="163"/>
      <c r="L45" s="163">
        <f t="shared" si="7"/>
        <v>0</v>
      </c>
      <c r="M45" s="240">
        <v>9.7</v>
      </c>
      <c r="N45" s="235">
        <f t="shared" si="5"/>
        <v>6.032679999999999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332">
        <f t="shared" si="6"/>
        <v>41</v>
      </c>
      <c r="C46" s="337" t="s">
        <v>13</v>
      </c>
      <c r="D46" s="324" t="s">
        <v>76</v>
      </c>
      <c r="E46" s="52">
        <v>5</v>
      </c>
      <c r="F46" s="124">
        <v>11675.3</v>
      </c>
      <c r="G46" s="160">
        <v>6.93</v>
      </c>
      <c r="H46" s="168">
        <v>709</v>
      </c>
      <c r="I46" s="185">
        <f aca="true" t="shared" si="8" ref="I46:I52">H46*77.7/1000</f>
        <v>55.0893</v>
      </c>
      <c r="J46" s="113"/>
      <c r="K46" s="160"/>
      <c r="L46" s="163">
        <f t="shared" si="7"/>
        <v>0</v>
      </c>
      <c r="M46" s="240">
        <v>71.08</v>
      </c>
      <c r="N46" s="235">
        <f t="shared" si="5"/>
        <v>15.990699999999997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332">
        <f t="shared" si="6"/>
        <v>42</v>
      </c>
      <c r="C47" s="337" t="s">
        <v>14</v>
      </c>
      <c r="D47" s="324" t="s">
        <v>76</v>
      </c>
      <c r="E47" s="52" t="s">
        <v>77</v>
      </c>
      <c r="F47" s="124">
        <v>3803.7</v>
      </c>
      <c r="G47" s="160">
        <v>8.71</v>
      </c>
      <c r="H47" s="168">
        <v>221</v>
      </c>
      <c r="I47" s="185">
        <f t="shared" si="8"/>
        <v>17.1717</v>
      </c>
      <c r="J47" s="113"/>
      <c r="K47" s="160">
        <v>4</v>
      </c>
      <c r="L47" s="163">
        <f t="shared" si="7"/>
        <v>0.24048</v>
      </c>
      <c r="M47" s="240">
        <v>25.86</v>
      </c>
      <c r="N47" s="235">
        <f t="shared" si="5"/>
        <v>8.447819999999998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332">
        <f t="shared" si="6"/>
        <v>43</v>
      </c>
      <c r="C48" s="337" t="s">
        <v>15</v>
      </c>
      <c r="D48" s="324" t="s">
        <v>86</v>
      </c>
      <c r="E48" s="52" t="s">
        <v>87</v>
      </c>
      <c r="F48" s="124">
        <v>13733.1</v>
      </c>
      <c r="G48" s="160">
        <v>7.56</v>
      </c>
      <c r="H48" s="168">
        <v>492</v>
      </c>
      <c r="I48" s="185">
        <f t="shared" si="8"/>
        <v>38.2284</v>
      </c>
      <c r="J48" s="160"/>
      <c r="K48" s="160"/>
      <c r="L48" s="163">
        <f t="shared" si="7"/>
        <v>0</v>
      </c>
      <c r="M48" s="240">
        <v>34.38</v>
      </c>
      <c r="N48" s="235">
        <f t="shared" si="5"/>
        <v>-3.848399999999998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332">
        <f t="shared" si="6"/>
        <v>44</v>
      </c>
      <c r="C49" s="337" t="s">
        <v>90</v>
      </c>
      <c r="D49" s="324" t="s">
        <v>86</v>
      </c>
      <c r="E49" s="52" t="s">
        <v>91</v>
      </c>
      <c r="F49" s="124">
        <v>8981.6</v>
      </c>
      <c r="G49" s="160">
        <v>7.48</v>
      </c>
      <c r="H49" s="168">
        <v>530</v>
      </c>
      <c r="I49" s="185">
        <f t="shared" si="8"/>
        <v>41.181</v>
      </c>
      <c r="J49" s="160"/>
      <c r="K49" s="160"/>
      <c r="L49" s="163">
        <f t="shared" si="7"/>
        <v>0</v>
      </c>
      <c r="M49" s="240">
        <v>45.83</v>
      </c>
      <c r="N49" s="235">
        <f t="shared" si="5"/>
        <v>4.649000000000001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332">
        <f t="shared" si="6"/>
        <v>45</v>
      </c>
      <c r="C50" s="337" t="s">
        <v>88</v>
      </c>
      <c r="D50" s="324" t="s">
        <v>86</v>
      </c>
      <c r="E50" s="52" t="s">
        <v>89</v>
      </c>
      <c r="F50" s="124">
        <v>4789.4</v>
      </c>
      <c r="G50" s="160">
        <v>7.44</v>
      </c>
      <c r="H50" s="168">
        <v>287</v>
      </c>
      <c r="I50" s="185">
        <f t="shared" si="8"/>
        <v>22.2999</v>
      </c>
      <c r="J50" s="113"/>
      <c r="K50" s="160"/>
      <c r="L50" s="163">
        <f t="shared" si="7"/>
        <v>0</v>
      </c>
      <c r="M50" s="240">
        <v>24.21</v>
      </c>
      <c r="N50" s="235">
        <f t="shared" si="5"/>
        <v>1.9101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332">
        <f t="shared" si="6"/>
        <v>46</v>
      </c>
      <c r="C51" s="494" t="s">
        <v>92</v>
      </c>
      <c r="D51" s="324" t="s">
        <v>86</v>
      </c>
      <c r="E51" s="52" t="s">
        <v>93</v>
      </c>
      <c r="F51" s="124">
        <v>5273.8</v>
      </c>
      <c r="G51" s="160">
        <v>6.64</v>
      </c>
      <c r="H51" s="168">
        <v>463</v>
      </c>
      <c r="I51" s="185">
        <f t="shared" si="8"/>
        <v>35.9751</v>
      </c>
      <c r="J51" s="113"/>
      <c r="K51" s="160"/>
      <c r="L51" s="163">
        <f t="shared" si="7"/>
        <v>0</v>
      </c>
      <c r="M51" s="200">
        <v>23.58</v>
      </c>
      <c r="N51" s="235">
        <f t="shared" si="5"/>
        <v>-12.3951</v>
      </c>
      <c r="O51" s="75"/>
      <c r="P51" s="3"/>
      <c r="Q51" s="252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332">
        <f t="shared" si="6"/>
        <v>47</v>
      </c>
      <c r="C52" s="337" t="s">
        <v>19</v>
      </c>
      <c r="D52" s="324" t="s">
        <v>83</v>
      </c>
      <c r="E52" s="52">
        <v>108</v>
      </c>
      <c r="F52" s="124">
        <v>11125.8</v>
      </c>
      <c r="G52" s="160">
        <v>6.91</v>
      </c>
      <c r="H52" s="168">
        <v>708</v>
      </c>
      <c r="I52" s="185">
        <f t="shared" si="8"/>
        <v>55.0116</v>
      </c>
      <c r="J52" s="113"/>
      <c r="K52" s="160">
        <v>163</v>
      </c>
      <c r="L52" s="163">
        <f t="shared" si="7"/>
        <v>9.79956</v>
      </c>
      <c r="M52" s="240">
        <v>55.81</v>
      </c>
      <c r="N52" s="235">
        <f t="shared" si="5"/>
        <v>-9.001159999999999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332">
        <f t="shared" si="6"/>
        <v>48</v>
      </c>
      <c r="C53" s="337" t="s">
        <v>70</v>
      </c>
      <c r="D53" s="324" t="s">
        <v>83</v>
      </c>
      <c r="E53" s="52">
        <v>120</v>
      </c>
      <c r="F53" s="124">
        <v>6713.5</v>
      </c>
      <c r="G53" s="160">
        <v>8.04</v>
      </c>
      <c r="H53" s="168">
        <v>176</v>
      </c>
      <c r="I53" s="206"/>
      <c r="J53" s="163">
        <f>H53*60.12/1000</f>
        <v>10.581119999999999</v>
      </c>
      <c r="K53" s="163"/>
      <c r="L53" s="163">
        <f t="shared" si="7"/>
        <v>0</v>
      </c>
      <c r="M53" s="240">
        <v>22.19</v>
      </c>
      <c r="N53" s="235">
        <f t="shared" si="5"/>
        <v>11.608880000000003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332">
        <f t="shared" si="6"/>
        <v>49</v>
      </c>
      <c r="C54" s="337" t="s">
        <v>135</v>
      </c>
      <c r="D54" s="324" t="s">
        <v>83</v>
      </c>
      <c r="E54" s="52">
        <v>124</v>
      </c>
      <c r="F54" s="124">
        <v>6718.7</v>
      </c>
      <c r="G54" s="160">
        <v>6.48</v>
      </c>
      <c r="H54" s="168">
        <v>283</v>
      </c>
      <c r="I54" s="206"/>
      <c r="J54" s="163">
        <f>H54*60.12/1000</f>
        <v>17.01396</v>
      </c>
      <c r="K54" s="163"/>
      <c r="L54" s="163">
        <f t="shared" si="7"/>
        <v>0</v>
      </c>
      <c r="M54" s="240">
        <v>21.83</v>
      </c>
      <c r="N54" s="235">
        <f t="shared" si="5"/>
        <v>4.816039999999997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332">
        <f t="shared" si="6"/>
        <v>50</v>
      </c>
      <c r="C55" s="337" t="s">
        <v>136</v>
      </c>
      <c r="D55" s="324" t="s">
        <v>83</v>
      </c>
      <c r="E55" s="52">
        <v>128</v>
      </c>
      <c r="F55" s="124">
        <v>6706.5</v>
      </c>
      <c r="G55" s="160">
        <v>6.48</v>
      </c>
      <c r="H55" s="168">
        <v>317</v>
      </c>
      <c r="I55" s="206"/>
      <c r="J55" s="163">
        <f>H55*60.12/1000</f>
        <v>19.058040000000002</v>
      </c>
      <c r="K55" s="163"/>
      <c r="L55" s="163">
        <f t="shared" si="7"/>
        <v>0</v>
      </c>
      <c r="M55" s="240">
        <v>23.09</v>
      </c>
      <c r="N55" s="235">
        <f t="shared" si="5"/>
        <v>4.031959999999998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31" ht="12.75" customHeight="1">
      <c r="B56" s="332">
        <v>51</v>
      </c>
      <c r="C56" s="337" t="s">
        <v>169</v>
      </c>
      <c r="D56" s="324" t="s">
        <v>83</v>
      </c>
      <c r="E56" s="52">
        <v>130</v>
      </c>
      <c r="F56" s="124">
        <v>6708.8</v>
      </c>
      <c r="G56" s="160">
        <v>6.48</v>
      </c>
      <c r="H56" s="168">
        <v>91</v>
      </c>
      <c r="I56" s="205"/>
      <c r="J56" s="163">
        <f>H56*60.12/1000</f>
        <v>5.4709200000000004</v>
      </c>
      <c r="K56" s="163"/>
      <c r="L56" s="163"/>
      <c r="M56" s="240">
        <v>13.45</v>
      </c>
      <c r="N56" s="235">
        <f t="shared" si="5"/>
        <v>7.979079999999999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0"/>
      <c r="AE56" s="1"/>
    </row>
    <row r="57" spans="2:28" ht="12.75" customHeight="1">
      <c r="B57" s="332">
        <v>52</v>
      </c>
      <c r="C57" s="337" t="s">
        <v>20</v>
      </c>
      <c r="D57" s="324" t="s">
        <v>83</v>
      </c>
      <c r="E57" s="52">
        <v>110</v>
      </c>
      <c r="F57" s="124">
        <v>11638.3</v>
      </c>
      <c r="G57" s="160">
        <v>7.26</v>
      </c>
      <c r="H57" s="168">
        <v>604</v>
      </c>
      <c r="I57" s="185">
        <f aca="true" t="shared" si="9" ref="I57:I63">H57*77.7/1000</f>
        <v>46.930800000000005</v>
      </c>
      <c r="J57" s="113"/>
      <c r="K57" s="160"/>
      <c r="L57" s="163">
        <f t="shared" si="7"/>
        <v>0</v>
      </c>
      <c r="M57" s="240">
        <v>42.98</v>
      </c>
      <c r="N57" s="235">
        <f t="shared" si="5"/>
        <v>-3.950800000000008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332">
        <v>53</v>
      </c>
      <c r="C58" s="337" t="s">
        <v>21</v>
      </c>
      <c r="D58" s="324" t="s">
        <v>83</v>
      </c>
      <c r="E58" s="52">
        <v>114</v>
      </c>
      <c r="F58" s="124">
        <v>9185</v>
      </c>
      <c r="G58" s="160">
        <v>7.06</v>
      </c>
      <c r="H58" s="168">
        <v>624</v>
      </c>
      <c r="I58" s="185">
        <f t="shared" si="9"/>
        <v>48.4848</v>
      </c>
      <c r="J58" s="113"/>
      <c r="K58" s="160"/>
      <c r="L58" s="163">
        <f t="shared" si="7"/>
        <v>0</v>
      </c>
      <c r="M58" s="240">
        <v>44.69</v>
      </c>
      <c r="N58" s="235">
        <f t="shared" si="5"/>
        <v>-3.794800000000002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3"/>
    </row>
    <row r="59" spans="2:28" ht="12.75" customHeight="1">
      <c r="B59" s="332">
        <v>54</v>
      </c>
      <c r="C59" s="337" t="s">
        <v>22</v>
      </c>
      <c r="D59" s="324" t="s">
        <v>83</v>
      </c>
      <c r="E59" s="52">
        <v>118</v>
      </c>
      <c r="F59" s="124">
        <v>9190.4</v>
      </c>
      <c r="G59" s="160">
        <v>7.09</v>
      </c>
      <c r="H59" s="168">
        <v>553</v>
      </c>
      <c r="I59" s="185">
        <f t="shared" si="9"/>
        <v>42.9681</v>
      </c>
      <c r="J59" s="113"/>
      <c r="K59" s="160"/>
      <c r="L59" s="163">
        <f t="shared" si="7"/>
        <v>0</v>
      </c>
      <c r="M59" s="240">
        <v>49.06</v>
      </c>
      <c r="N59" s="235">
        <f t="shared" si="5"/>
        <v>6.0919000000000025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0"/>
    </row>
    <row r="60" spans="2:28" ht="12.75" customHeight="1">
      <c r="B60" s="332">
        <v>55</v>
      </c>
      <c r="C60" s="337" t="s">
        <v>23</v>
      </c>
      <c r="D60" s="324" t="s">
        <v>83</v>
      </c>
      <c r="E60" s="52">
        <v>122</v>
      </c>
      <c r="F60" s="124">
        <v>9187.9</v>
      </c>
      <c r="G60" s="160">
        <v>5.76</v>
      </c>
      <c r="H60" s="168">
        <v>646</v>
      </c>
      <c r="I60" s="185">
        <f t="shared" si="9"/>
        <v>50.1942</v>
      </c>
      <c r="J60" s="113"/>
      <c r="K60" s="160"/>
      <c r="L60" s="163">
        <f t="shared" si="7"/>
        <v>0</v>
      </c>
      <c r="M60" s="240">
        <v>46.22</v>
      </c>
      <c r="N60" s="235">
        <f t="shared" si="5"/>
        <v>-3.9742000000000033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3"/>
    </row>
    <row r="61" spans="2:28" ht="12.75" customHeight="1">
      <c r="B61" s="332">
        <v>56</v>
      </c>
      <c r="C61" s="337" t="s">
        <v>24</v>
      </c>
      <c r="D61" s="324" t="s">
        <v>83</v>
      </c>
      <c r="E61" s="52">
        <v>126</v>
      </c>
      <c r="F61" s="124">
        <v>9187.1</v>
      </c>
      <c r="G61" s="160">
        <v>6.36</v>
      </c>
      <c r="H61" s="168">
        <v>765</v>
      </c>
      <c r="I61" s="185">
        <f t="shared" si="9"/>
        <v>59.4405</v>
      </c>
      <c r="J61" s="113"/>
      <c r="K61" s="160"/>
      <c r="L61" s="163">
        <f t="shared" si="7"/>
        <v>0</v>
      </c>
      <c r="M61" s="240">
        <v>43.96</v>
      </c>
      <c r="N61" s="235">
        <f t="shared" si="5"/>
        <v>-15.4805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0"/>
    </row>
    <row r="62" spans="2:28" ht="12.75" customHeight="1">
      <c r="B62" s="332">
        <v>57</v>
      </c>
      <c r="C62" s="337" t="s">
        <v>81</v>
      </c>
      <c r="D62" s="324" t="s">
        <v>79</v>
      </c>
      <c r="E62" s="52" t="s">
        <v>82</v>
      </c>
      <c r="F62" s="124">
        <v>6886.8</v>
      </c>
      <c r="G62" s="160">
        <v>6.76</v>
      </c>
      <c r="H62" s="168">
        <v>321</v>
      </c>
      <c r="I62" s="185">
        <f t="shared" si="9"/>
        <v>24.9417</v>
      </c>
      <c r="J62" s="113"/>
      <c r="K62" s="160">
        <v>2</v>
      </c>
      <c r="L62" s="163">
        <f t="shared" si="7"/>
        <v>0.12024</v>
      </c>
      <c r="M62" s="160">
        <v>38.47</v>
      </c>
      <c r="N62" s="235">
        <f t="shared" si="5"/>
        <v>13.408059999999997</v>
      </c>
      <c r="O62" s="75"/>
      <c r="P62" s="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3"/>
    </row>
    <row r="63" spans="2:32" ht="14.25" customHeight="1" thickBot="1">
      <c r="B63" s="332">
        <v>58</v>
      </c>
      <c r="C63" s="338" t="s">
        <v>78</v>
      </c>
      <c r="D63" s="328" t="s">
        <v>79</v>
      </c>
      <c r="E63" s="142" t="s">
        <v>80</v>
      </c>
      <c r="F63" s="129">
        <v>4261.1</v>
      </c>
      <c r="G63" s="173">
        <v>9.62</v>
      </c>
      <c r="H63" s="169">
        <v>207</v>
      </c>
      <c r="I63" s="185">
        <f t="shared" si="9"/>
        <v>16.0839</v>
      </c>
      <c r="J63" s="172"/>
      <c r="K63" s="173"/>
      <c r="L63" s="163">
        <f t="shared" si="7"/>
        <v>0</v>
      </c>
      <c r="M63" s="251">
        <v>21.29</v>
      </c>
      <c r="N63" s="235">
        <f t="shared" si="5"/>
        <v>5.206099999999999</v>
      </c>
      <c r="O63" s="76"/>
      <c r="P63" s="25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>
      <c r="B64" s="332">
        <v>59</v>
      </c>
      <c r="C64" s="338" t="s">
        <v>144</v>
      </c>
      <c r="D64" s="328" t="s">
        <v>101</v>
      </c>
      <c r="E64" s="142">
        <v>32</v>
      </c>
      <c r="F64" s="124">
        <v>28893.1</v>
      </c>
      <c r="G64" s="173">
        <v>8.06</v>
      </c>
      <c r="H64" s="169">
        <v>465</v>
      </c>
      <c r="I64" s="208"/>
      <c r="J64" s="163">
        <f>H64*60.12/1000</f>
        <v>27.9558</v>
      </c>
      <c r="K64" s="228"/>
      <c r="L64" s="163">
        <f t="shared" si="7"/>
        <v>0</v>
      </c>
      <c r="M64" s="173">
        <f>48.95+42.29</f>
        <v>91.24000000000001</v>
      </c>
      <c r="N64" s="235">
        <f t="shared" si="5"/>
        <v>63.28420000000001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32" ht="14.25" customHeight="1">
      <c r="B65" s="332">
        <v>60</v>
      </c>
      <c r="C65" s="337" t="s">
        <v>145</v>
      </c>
      <c r="D65" s="324" t="s">
        <v>101</v>
      </c>
      <c r="E65" s="52">
        <v>36</v>
      </c>
      <c r="F65" s="129">
        <v>14015.8</v>
      </c>
      <c r="G65" s="160">
        <v>8.06</v>
      </c>
      <c r="H65" s="168">
        <v>262</v>
      </c>
      <c r="I65" s="206"/>
      <c r="J65" s="163">
        <f>H65*60.12/1000</f>
        <v>15.751439999999999</v>
      </c>
      <c r="K65" s="163"/>
      <c r="L65" s="163">
        <f t="shared" si="7"/>
        <v>0</v>
      </c>
      <c r="M65" s="240">
        <v>39.76</v>
      </c>
      <c r="N65" s="250">
        <f t="shared" si="5"/>
        <v>24.00856</v>
      </c>
      <c r="O65" s="145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2"/>
      <c r="AB65" s="20"/>
      <c r="AF65" s="1"/>
    </row>
    <row r="66" spans="2:32" ht="14.25" customHeight="1">
      <c r="B66" s="120">
        <v>61</v>
      </c>
      <c r="C66" s="337" t="s">
        <v>170</v>
      </c>
      <c r="D66" s="324" t="s">
        <v>171</v>
      </c>
      <c r="E66" s="52">
        <v>7</v>
      </c>
      <c r="F66" s="124">
        <v>12672.5</v>
      </c>
      <c r="G66" s="160">
        <v>8.06</v>
      </c>
      <c r="H66" s="168">
        <v>131</v>
      </c>
      <c r="I66" s="206"/>
      <c r="J66" s="163">
        <f>H66*60.12/1000</f>
        <v>7.875719999999999</v>
      </c>
      <c r="K66" s="163"/>
      <c r="L66" s="163"/>
      <c r="M66" s="240">
        <f>11.16+9.01</f>
        <v>20.17</v>
      </c>
      <c r="N66" s="250">
        <f t="shared" si="5"/>
        <v>12.294280000000002</v>
      </c>
      <c r="O66" s="145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2"/>
      <c r="AB66" s="20"/>
      <c r="AF66" s="1"/>
    </row>
    <row r="67" spans="2:32" ht="14.25" customHeight="1" thickBot="1">
      <c r="B67" s="121">
        <v>62</v>
      </c>
      <c r="C67" s="339" t="s">
        <v>172</v>
      </c>
      <c r="D67" s="329" t="s">
        <v>173</v>
      </c>
      <c r="E67" s="317">
        <v>5</v>
      </c>
      <c r="F67" s="318">
        <v>11094.5</v>
      </c>
      <c r="G67" s="493">
        <v>8.06</v>
      </c>
      <c r="H67" s="319">
        <v>40</v>
      </c>
      <c r="I67" s="320"/>
      <c r="J67" s="163">
        <f>H67*60.12/1000</f>
        <v>2.4048</v>
      </c>
      <c r="K67" s="321"/>
      <c r="L67" s="321"/>
      <c r="M67" s="322">
        <v>8.6</v>
      </c>
      <c r="N67" s="250">
        <f t="shared" si="5"/>
        <v>6.1952</v>
      </c>
      <c r="O67" s="145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2"/>
      <c r="AB67" s="20"/>
      <c r="AF67" s="1"/>
    </row>
    <row r="68" spans="2:14" ht="13.5" thickBot="1">
      <c r="B68" s="85"/>
      <c r="C68" s="10"/>
      <c r="D68" s="10"/>
      <c r="E68" s="8"/>
      <c r="F68" s="156">
        <f>SUM(F6:F67)</f>
        <v>629930.3</v>
      </c>
      <c r="G68" s="79"/>
      <c r="H68" s="212"/>
      <c r="I68" s="245">
        <f aca="true" t="shared" si="10" ref="I68:N68">SUM(I6:I65)</f>
        <v>1287.2558999999999</v>
      </c>
      <c r="J68" s="245">
        <f t="shared" si="10"/>
        <v>656.39016</v>
      </c>
      <c r="K68" s="245">
        <f t="shared" si="10"/>
        <v>232</v>
      </c>
      <c r="L68" s="245">
        <f t="shared" si="10"/>
        <v>13.947840000000001</v>
      </c>
      <c r="M68" s="245">
        <f t="shared" si="10"/>
        <v>2341.4700000000003</v>
      </c>
      <c r="N68" s="245">
        <f t="shared" si="10"/>
        <v>383.8760999999998</v>
      </c>
    </row>
    <row r="69" ht="12.75">
      <c r="F69" s="6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66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M43" sqref="M43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166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155</v>
      </c>
      <c r="J5" s="182" t="s">
        <v>156</v>
      </c>
      <c r="K5" s="182" t="s">
        <v>163</v>
      </c>
      <c r="L5" s="183" t="s">
        <v>164</v>
      </c>
      <c r="M5" s="182" t="s">
        <v>165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119">
        <v>1</v>
      </c>
      <c r="C6" s="117" t="s">
        <v>131</v>
      </c>
      <c r="D6" s="47" t="s">
        <v>98</v>
      </c>
      <c r="E6" s="46" t="s">
        <v>138</v>
      </c>
      <c r="F6" s="122">
        <v>6457.6</v>
      </c>
      <c r="G6" s="216">
        <v>7.39</v>
      </c>
      <c r="H6" s="193">
        <v>298</v>
      </c>
      <c r="I6" s="185">
        <f>H6*77.7/1000</f>
        <v>23.154600000000002</v>
      </c>
      <c r="J6" s="158"/>
      <c r="K6" s="158"/>
      <c r="L6" s="158"/>
      <c r="M6" s="235">
        <v>32.7</v>
      </c>
      <c r="N6" s="235">
        <f aca="true" t="shared" si="0" ref="N6:N37">M6-I6-J6-L6</f>
        <v>9.5454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120">
        <f aca="true" t="shared" si="1" ref="B7:B38">B6+1</f>
        <v>2</v>
      </c>
      <c r="C7" s="118" t="s">
        <v>132</v>
      </c>
      <c r="D7" s="47" t="s">
        <v>98</v>
      </c>
      <c r="E7" s="52">
        <v>79</v>
      </c>
      <c r="F7" s="124">
        <v>12688.5</v>
      </c>
      <c r="G7" s="163">
        <v>8.06</v>
      </c>
      <c r="H7" s="166">
        <v>443</v>
      </c>
      <c r="I7" s="185">
        <f>H7*77.7/1000</f>
        <v>34.421099999999996</v>
      </c>
      <c r="J7" s="82"/>
      <c r="K7" s="163">
        <v>28</v>
      </c>
      <c r="L7" s="163">
        <f aca="true" t="shared" si="2" ref="L7:L38">K7*60.12/1000</f>
        <v>1.68336</v>
      </c>
      <c r="M7" s="250">
        <v>52.5</v>
      </c>
      <c r="N7" s="235">
        <f t="shared" si="0"/>
        <v>16.395540000000004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120">
        <f t="shared" si="1"/>
        <v>3</v>
      </c>
      <c r="C8" s="118" t="s">
        <v>133</v>
      </c>
      <c r="D8" s="64" t="s">
        <v>94</v>
      </c>
      <c r="E8" s="52" t="s">
        <v>137</v>
      </c>
      <c r="F8" s="124">
        <v>11181.7</v>
      </c>
      <c r="G8" s="163">
        <v>8.06</v>
      </c>
      <c r="H8" s="166">
        <v>394</v>
      </c>
      <c r="I8" s="185"/>
      <c r="J8" s="163">
        <f>H8*60.12/1000</f>
        <v>23.687279999999998</v>
      </c>
      <c r="K8" s="163"/>
      <c r="L8" s="163">
        <f t="shared" si="2"/>
        <v>0</v>
      </c>
      <c r="M8" s="250">
        <v>22.22</v>
      </c>
      <c r="N8" s="235">
        <f t="shared" si="0"/>
        <v>-1.4672799999999988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120">
        <f t="shared" si="1"/>
        <v>4</v>
      </c>
      <c r="C9" s="65" t="s">
        <v>71</v>
      </c>
      <c r="D9" s="64" t="s">
        <v>94</v>
      </c>
      <c r="E9" s="64" t="s">
        <v>95</v>
      </c>
      <c r="F9" s="155">
        <v>10509.4</v>
      </c>
      <c r="G9" s="159">
        <v>8.01</v>
      </c>
      <c r="H9" s="167">
        <v>138</v>
      </c>
      <c r="I9" s="205"/>
      <c r="J9" s="163">
        <f>H9*60.12/1000</f>
        <v>8.29656</v>
      </c>
      <c r="K9" s="162"/>
      <c r="L9" s="163">
        <f t="shared" si="2"/>
        <v>0</v>
      </c>
      <c r="M9" s="237">
        <v>31.09</v>
      </c>
      <c r="N9" s="235">
        <f t="shared" si="0"/>
        <v>22.79344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120">
        <f t="shared" si="1"/>
        <v>5</v>
      </c>
      <c r="C10" s="57" t="s">
        <v>1</v>
      </c>
      <c r="D10" s="47" t="s">
        <v>96</v>
      </c>
      <c r="E10" s="47" t="s">
        <v>97</v>
      </c>
      <c r="F10" s="155">
        <v>9045.5</v>
      </c>
      <c r="G10" s="160">
        <v>6.8</v>
      </c>
      <c r="H10" s="167">
        <v>276</v>
      </c>
      <c r="I10" s="185">
        <f>H10*77.7/1000</f>
        <v>21.4452</v>
      </c>
      <c r="J10" s="115"/>
      <c r="K10" s="115"/>
      <c r="L10" s="163">
        <f t="shared" si="2"/>
        <v>0</v>
      </c>
      <c r="M10" s="237">
        <v>23.69</v>
      </c>
      <c r="N10" s="235">
        <f t="shared" si="0"/>
        <v>2.2448000000000015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120">
        <f t="shared" si="1"/>
        <v>6</v>
      </c>
      <c r="C11" s="58" t="s">
        <v>107</v>
      </c>
      <c r="D11" s="47" t="s">
        <v>108</v>
      </c>
      <c r="E11" s="47">
        <v>45</v>
      </c>
      <c r="F11" s="129">
        <v>7179.6</v>
      </c>
      <c r="G11" s="164">
        <v>7.83</v>
      </c>
      <c r="H11" s="211">
        <v>195</v>
      </c>
      <c r="I11" s="185">
        <f>H11*77.7/1000</f>
        <v>15.1515</v>
      </c>
      <c r="J11" s="83"/>
      <c r="K11" s="83"/>
      <c r="L11" s="163">
        <f t="shared" si="2"/>
        <v>0</v>
      </c>
      <c r="M11" s="250">
        <v>15.1</v>
      </c>
      <c r="N11" s="235">
        <f t="shared" si="0"/>
        <v>-0.05150000000000077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120">
        <f t="shared" si="1"/>
        <v>7</v>
      </c>
      <c r="C12" s="58" t="s">
        <v>109</v>
      </c>
      <c r="D12" s="47" t="s">
        <v>108</v>
      </c>
      <c r="E12" s="47" t="s">
        <v>110</v>
      </c>
      <c r="F12" s="124">
        <v>7003.6</v>
      </c>
      <c r="G12" s="164">
        <v>7.47</v>
      </c>
      <c r="H12" s="211">
        <v>160</v>
      </c>
      <c r="I12" s="185">
        <f>H12*77.7/1000</f>
        <v>12.432</v>
      </c>
      <c r="J12" s="83"/>
      <c r="K12" s="83"/>
      <c r="L12" s="163">
        <f t="shared" si="2"/>
        <v>0</v>
      </c>
      <c r="M12" s="250">
        <v>22.31</v>
      </c>
      <c r="N12" s="235">
        <f t="shared" si="0"/>
        <v>9.877999999999998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120">
        <f t="shared" si="1"/>
        <v>8</v>
      </c>
      <c r="C13" s="58" t="s">
        <v>116</v>
      </c>
      <c r="D13" s="48" t="s">
        <v>117</v>
      </c>
      <c r="E13" s="47" t="s">
        <v>118</v>
      </c>
      <c r="F13" s="124">
        <v>6727.7</v>
      </c>
      <c r="G13" s="160">
        <v>6.16</v>
      </c>
      <c r="H13" s="168">
        <v>146</v>
      </c>
      <c r="I13" s="185">
        <f>H13*77.7/1000</f>
        <v>11.3442</v>
      </c>
      <c r="J13" s="113"/>
      <c r="K13" s="113"/>
      <c r="L13" s="163">
        <f t="shared" si="2"/>
        <v>0</v>
      </c>
      <c r="M13" s="240">
        <v>11.51</v>
      </c>
      <c r="N13" s="235">
        <f t="shared" si="0"/>
        <v>0.16579999999999906</v>
      </c>
      <c r="O13" s="75"/>
      <c r="P13" s="3"/>
    </row>
    <row r="14" spans="2:16" ht="12.75" customHeight="1">
      <c r="B14" s="120">
        <f t="shared" si="1"/>
        <v>9</v>
      </c>
      <c r="C14" s="58" t="s">
        <v>128</v>
      </c>
      <c r="D14" s="48" t="s">
        <v>101</v>
      </c>
      <c r="E14" s="47">
        <v>40</v>
      </c>
      <c r="F14" s="124">
        <v>4726.8</v>
      </c>
      <c r="G14" s="160">
        <v>8.06</v>
      </c>
      <c r="H14" s="168">
        <v>74</v>
      </c>
      <c r="I14" s="206"/>
      <c r="J14" s="163">
        <f aca="true" t="shared" si="3" ref="J14:J28">H14*60.12/1000</f>
        <v>4.44888</v>
      </c>
      <c r="K14" s="163"/>
      <c r="L14" s="163">
        <f t="shared" si="2"/>
        <v>0</v>
      </c>
      <c r="M14" s="240">
        <v>12.41</v>
      </c>
      <c r="N14" s="235">
        <f t="shared" si="0"/>
        <v>7.96112</v>
      </c>
      <c r="O14" s="75"/>
      <c r="P14" s="3"/>
    </row>
    <row r="15" spans="2:16" ht="12.75" customHeight="1">
      <c r="B15" s="120">
        <f t="shared" si="1"/>
        <v>10</v>
      </c>
      <c r="C15" s="58" t="s">
        <v>129</v>
      </c>
      <c r="D15" s="48" t="s">
        <v>101</v>
      </c>
      <c r="E15" s="47">
        <v>42</v>
      </c>
      <c r="F15" s="124">
        <v>4730.4</v>
      </c>
      <c r="G15" s="160">
        <v>8.06</v>
      </c>
      <c r="H15" s="168">
        <v>174</v>
      </c>
      <c r="I15" s="206"/>
      <c r="J15" s="163">
        <f t="shared" si="3"/>
        <v>10.46088</v>
      </c>
      <c r="K15" s="163"/>
      <c r="L15" s="163">
        <f t="shared" si="2"/>
        <v>0</v>
      </c>
      <c r="M15" s="240">
        <v>12.52</v>
      </c>
      <c r="N15" s="235">
        <f t="shared" si="0"/>
        <v>2.05912</v>
      </c>
      <c r="O15" s="75"/>
      <c r="P15" s="3"/>
    </row>
    <row r="16" spans="2:16" ht="12.75" customHeight="1">
      <c r="B16" s="120">
        <f t="shared" si="1"/>
        <v>11</v>
      </c>
      <c r="C16" s="58" t="s">
        <v>130</v>
      </c>
      <c r="D16" s="48" t="s">
        <v>101</v>
      </c>
      <c r="E16" s="47">
        <v>44</v>
      </c>
      <c r="F16" s="124">
        <v>4727.7</v>
      </c>
      <c r="G16" s="160">
        <v>8.06</v>
      </c>
      <c r="H16" s="168">
        <v>61</v>
      </c>
      <c r="I16" s="206"/>
      <c r="J16" s="163">
        <f t="shared" si="3"/>
        <v>3.6673199999999997</v>
      </c>
      <c r="K16" s="163"/>
      <c r="L16" s="163">
        <f t="shared" si="2"/>
        <v>0</v>
      </c>
      <c r="M16" s="240">
        <v>10.33</v>
      </c>
      <c r="N16" s="235">
        <f t="shared" si="0"/>
        <v>6.66268</v>
      </c>
      <c r="O16" s="75"/>
      <c r="P16" s="3"/>
    </row>
    <row r="17" spans="2:16" ht="12.75" customHeight="1">
      <c r="B17" s="120">
        <f t="shared" si="1"/>
        <v>12</v>
      </c>
      <c r="C17" s="58" t="s">
        <v>120</v>
      </c>
      <c r="D17" s="48" t="s">
        <v>111</v>
      </c>
      <c r="E17" s="47">
        <v>11</v>
      </c>
      <c r="F17" s="124">
        <v>10656</v>
      </c>
      <c r="G17" s="160">
        <v>8.06</v>
      </c>
      <c r="H17" s="168">
        <v>461</v>
      </c>
      <c r="I17" s="206"/>
      <c r="J17" s="163">
        <f t="shared" si="3"/>
        <v>27.71532</v>
      </c>
      <c r="K17" s="163"/>
      <c r="L17" s="163">
        <f t="shared" si="2"/>
        <v>0</v>
      </c>
      <c r="M17" s="240">
        <v>33.42</v>
      </c>
      <c r="N17" s="235">
        <f t="shared" si="0"/>
        <v>5.704680000000003</v>
      </c>
      <c r="O17" s="75"/>
      <c r="P17" s="32"/>
    </row>
    <row r="18" spans="2:28" ht="12.75" customHeight="1">
      <c r="B18" s="120">
        <f t="shared" si="1"/>
        <v>13</v>
      </c>
      <c r="C18" s="58" t="s">
        <v>61</v>
      </c>
      <c r="D18" s="48" t="s">
        <v>101</v>
      </c>
      <c r="E18" s="47">
        <v>13</v>
      </c>
      <c r="F18" s="124">
        <v>3545.7</v>
      </c>
      <c r="G18" s="165">
        <v>8.2</v>
      </c>
      <c r="H18" s="78">
        <v>193</v>
      </c>
      <c r="I18" s="207"/>
      <c r="J18" s="163">
        <f t="shared" si="3"/>
        <v>11.603159999999999</v>
      </c>
      <c r="K18" s="163"/>
      <c r="L18" s="163">
        <f t="shared" si="2"/>
        <v>0</v>
      </c>
      <c r="M18" s="250">
        <v>13.16</v>
      </c>
      <c r="N18" s="235">
        <f t="shared" si="0"/>
        <v>1.5568400000000011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120">
        <f t="shared" si="1"/>
        <v>14</v>
      </c>
      <c r="C19" s="58" t="s">
        <v>62</v>
      </c>
      <c r="D19" s="48" t="s">
        <v>101</v>
      </c>
      <c r="E19" s="47">
        <v>15</v>
      </c>
      <c r="F19" s="124">
        <v>3547.1</v>
      </c>
      <c r="G19" s="165">
        <v>8.42</v>
      </c>
      <c r="H19" s="78">
        <v>174</v>
      </c>
      <c r="I19" s="207"/>
      <c r="J19" s="163">
        <f t="shared" si="3"/>
        <v>10.46088</v>
      </c>
      <c r="K19" s="163"/>
      <c r="L19" s="163">
        <f t="shared" si="2"/>
        <v>0</v>
      </c>
      <c r="M19" s="250">
        <v>10.58</v>
      </c>
      <c r="N19" s="235">
        <f t="shared" si="0"/>
        <v>0.11912000000000056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120">
        <f t="shared" si="1"/>
        <v>15</v>
      </c>
      <c r="C20" s="58" t="s">
        <v>67</v>
      </c>
      <c r="D20" s="48" t="s">
        <v>101</v>
      </c>
      <c r="E20" s="47" t="s">
        <v>102</v>
      </c>
      <c r="F20" s="124">
        <v>3524.6</v>
      </c>
      <c r="G20" s="160">
        <v>8.06</v>
      </c>
      <c r="H20" s="168">
        <v>168</v>
      </c>
      <c r="I20" s="206"/>
      <c r="J20" s="163">
        <f t="shared" si="3"/>
        <v>10.10016</v>
      </c>
      <c r="K20" s="163"/>
      <c r="L20" s="163">
        <f t="shared" si="2"/>
        <v>0</v>
      </c>
      <c r="M20" s="250">
        <v>7.68</v>
      </c>
      <c r="N20" s="235">
        <f t="shared" si="0"/>
        <v>-2.420160000000001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120">
        <f t="shared" si="1"/>
        <v>16</v>
      </c>
      <c r="C21" s="58" t="s">
        <v>126</v>
      </c>
      <c r="D21" s="48" t="s">
        <v>167</v>
      </c>
      <c r="E21" s="47">
        <v>7</v>
      </c>
      <c r="F21" s="124">
        <v>16614.4</v>
      </c>
      <c r="G21" s="160">
        <v>8.06</v>
      </c>
      <c r="H21" s="168">
        <v>503</v>
      </c>
      <c r="I21" s="206"/>
      <c r="J21" s="163">
        <f t="shared" si="3"/>
        <v>30.240359999999995</v>
      </c>
      <c r="K21" s="163"/>
      <c r="L21" s="163">
        <f t="shared" si="2"/>
        <v>0</v>
      </c>
      <c r="M21" s="250">
        <f>17.1+24.74</f>
        <v>41.84</v>
      </c>
      <c r="N21" s="235">
        <f t="shared" si="0"/>
        <v>11.599640000000008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120">
        <f t="shared" si="1"/>
        <v>17</v>
      </c>
      <c r="C22" s="58" t="s">
        <v>68</v>
      </c>
      <c r="D22" s="48" t="s">
        <v>111</v>
      </c>
      <c r="E22" s="51" t="s">
        <v>112</v>
      </c>
      <c r="F22" s="124">
        <v>14948.6</v>
      </c>
      <c r="G22" s="160">
        <v>7.72</v>
      </c>
      <c r="H22" s="168">
        <v>603</v>
      </c>
      <c r="I22" s="206"/>
      <c r="J22" s="163">
        <f t="shared" si="3"/>
        <v>36.25236</v>
      </c>
      <c r="K22" s="163"/>
      <c r="L22" s="163">
        <f t="shared" si="2"/>
        <v>0</v>
      </c>
      <c r="M22" s="250">
        <v>40.17</v>
      </c>
      <c r="N22" s="235">
        <f t="shared" si="0"/>
        <v>3.9176399999999987</v>
      </c>
      <c r="O22" s="75"/>
      <c r="P22" s="3"/>
    </row>
    <row r="23" spans="2:16" ht="12.75" customHeight="1">
      <c r="B23" s="120">
        <f t="shared" si="1"/>
        <v>18</v>
      </c>
      <c r="C23" s="58" t="s">
        <v>148</v>
      </c>
      <c r="D23" s="48" t="s">
        <v>101</v>
      </c>
      <c r="E23" s="51" t="s">
        <v>149</v>
      </c>
      <c r="F23" s="124">
        <v>8832.7</v>
      </c>
      <c r="G23" s="160">
        <v>8.06</v>
      </c>
      <c r="H23" s="168">
        <v>109</v>
      </c>
      <c r="I23" s="206"/>
      <c r="J23" s="163">
        <f t="shared" si="3"/>
        <v>6.55308</v>
      </c>
      <c r="K23" s="163"/>
      <c r="L23" s="163">
        <f t="shared" si="2"/>
        <v>0</v>
      </c>
      <c r="M23" s="250">
        <f>15.72+15.83</f>
        <v>31.55</v>
      </c>
      <c r="N23" s="235">
        <f t="shared" si="0"/>
        <v>24.996920000000003</v>
      </c>
      <c r="O23" s="75"/>
      <c r="P23" s="3"/>
    </row>
    <row r="24" spans="2:28" ht="12.75" customHeight="1">
      <c r="B24" s="120">
        <f t="shared" si="1"/>
        <v>19</v>
      </c>
      <c r="C24" s="58" t="s">
        <v>59</v>
      </c>
      <c r="D24" s="48" t="s">
        <v>101</v>
      </c>
      <c r="E24" s="52">
        <v>21</v>
      </c>
      <c r="F24" s="124">
        <v>19523.1</v>
      </c>
      <c r="G24" s="165">
        <v>6.7</v>
      </c>
      <c r="H24" s="78">
        <v>734</v>
      </c>
      <c r="I24" s="207"/>
      <c r="J24" s="163">
        <f t="shared" si="3"/>
        <v>44.128080000000004</v>
      </c>
      <c r="K24" s="163"/>
      <c r="L24" s="163">
        <f t="shared" si="2"/>
        <v>0</v>
      </c>
      <c r="M24" s="250">
        <f>21.08+29.5</f>
        <v>50.58</v>
      </c>
      <c r="N24" s="235">
        <f t="shared" si="0"/>
        <v>6.451919999999994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120">
        <f t="shared" si="1"/>
        <v>20</v>
      </c>
      <c r="C25" s="58" t="s">
        <v>104</v>
      </c>
      <c r="D25" s="48" t="s">
        <v>101</v>
      </c>
      <c r="E25" s="52">
        <v>23</v>
      </c>
      <c r="F25" s="131">
        <v>18481.1</v>
      </c>
      <c r="G25" s="160">
        <v>7.1</v>
      </c>
      <c r="H25" s="168">
        <v>615</v>
      </c>
      <c r="I25" s="206"/>
      <c r="J25" s="163">
        <f t="shared" si="3"/>
        <v>36.9738</v>
      </c>
      <c r="K25" s="163">
        <v>39</v>
      </c>
      <c r="L25" s="163">
        <f t="shared" si="2"/>
        <v>2.34468</v>
      </c>
      <c r="M25" s="242">
        <f>23.15+24.7</f>
        <v>47.849999999999994</v>
      </c>
      <c r="N25" s="235">
        <f t="shared" si="0"/>
        <v>8.531519999999997</v>
      </c>
      <c r="O25" s="75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120">
        <f t="shared" si="1"/>
        <v>21</v>
      </c>
      <c r="C26" s="58" t="s">
        <v>105</v>
      </c>
      <c r="D26" s="48" t="s">
        <v>101</v>
      </c>
      <c r="E26" s="52">
        <v>25</v>
      </c>
      <c r="F26" s="124">
        <v>18464.4</v>
      </c>
      <c r="G26" s="160">
        <v>7.2</v>
      </c>
      <c r="H26" s="168">
        <v>816</v>
      </c>
      <c r="I26" s="206"/>
      <c r="J26" s="163">
        <f t="shared" si="3"/>
        <v>49.057919999999996</v>
      </c>
      <c r="K26" s="163"/>
      <c r="L26" s="163">
        <f t="shared" si="2"/>
        <v>0</v>
      </c>
      <c r="M26" s="242">
        <f>29.4+24.31</f>
        <v>53.709999999999994</v>
      </c>
      <c r="N26" s="235">
        <f t="shared" si="0"/>
        <v>4.652079999999998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120">
        <f t="shared" si="1"/>
        <v>22</v>
      </c>
      <c r="C27" s="58" t="s">
        <v>103</v>
      </c>
      <c r="D27" s="47" t="s">
        <v>101</v>
      </c>
      <c r="E27" s="52">
        <v>17</v>
      </c>
      <c r="F27" s="124">
        <v>30266.3</v>
      </c>
      <c r="G27" s="165">
        <v>6.59</v>
      </c>
      <c r="H27" s="78">
        <v>1044</v>
      </c>
      <c r="I27" s="207"/>
      <c r="J27" s="163">
        <f t="shared" si="3"/>
        <v>62.76528</v>
      </c>
      <c r="K27" s="163"/>
      <c r="L27" s="163">
        <f t="shared" si="2"/>
        <v>0</v>
      </c>
      <c r="M27" s="242">
        <f>22.76+41.49+20.72</f>
        <v>84.97</v>
      </c>
      <c r="N27" s="235">
        <f t="shared" si="0"/>
        <v>22.204720000000002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7" ht="12.75" customHeight="1">
      <c r="B28" s="120">
        <f t="shared" si="1"/>
        <v>23</v>
      </c>
      <c r="C28" s="58" t="s">
        <v>65</v>
      </c>
      <c r="D28" s="47" t="s">
        <v>113</v>
      </c>
      <c r="E28" s="52">
        <v>19</v>
      </c>
      <c r="F28" s="124">
        <v>24146</v>
      </c>
      <c r="G28" s="160">
        <v>6.61</v>
      </c>
      <c r="H28" s="168">
        <v>880</v>
      </c>
      <c r="I28" s="206"/>
      <c r="J28" s="163">
        <f t="shared" si="3"/>
        <v>52.9056</v>
      </c>
      <c r="K28" s="280">
        <v>26</v>
      </c>
      <c r="L28" s="163">
        <f t="shared" si="2"/>
        <v>1.5631199999999998</v>
      </c>
      <c r="M28" s="242">
        <f>26.53+29.25</f>
        <v>55.78</v>
      </c>
      <c r="N28" s="235">
        <f t="shared" si="0"/>
        <v>1.3112800000000016</v>
      </c>
      <c r="O28" s="75"/>
      <c r="P28" s="3"/>
      <c r="Q28" s="281"/>
    </row>
    <row r="29" spans="2:28" ht="12.75" customHeight="1">
      <c r="B29" s="120">
        <f t="shared" si="1"/>
        <v>24</v>
      </c>
      <c r="C29" s="58" t="s">
        <v>63</v>
      </c>
      <c r="D29" s="48" t="s">
        <v>101</v>
      </c>
      <c r="E29" s="52">
        <v>29</v>
      </c>
      <c r="F29" s="124">
        <v>20258.6</v>
      </c>
      <c r="G29" s="160">
        <v>6.78</v>
      </c>
      <c r="H29" s="168">
        <f>310+472</f>
        <v>782</v>
      </c>
      <c r="I29" s="185">
        <f aca="true" t="shared" si="4" ref="I29:I44">H29*77.7/1000</f>
        <v>60.7614</v>
      </c>
      <c r="J29" s="113"/>
      <c r="K29" s="113">
        <v>24</v>
      </c>
      <c r="L29" s="163">
        <f t="shared" si="2"/>
        <v>1.44288</v>
      </c>
      <c r="M29" s="240">
        <f>33.37+40.63</f>
        <v>74</v>
      </c>
      <c r="N29" s="235">
        <f t="shared" si="0"/>
        <v>11.795719999999998</v>
      </c>
      <c r="O29" s="75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120">
        <f t="shared" si="1"/>
        <v>25</v>
      </c>
      <c r="C30" s="58" t="s">
        <v>55</v>
      </c>
      <c r="D30" s="47" t="s">
        <v>101</v>
      </c>
      <c r="E30" s="52">
        <v>31</v>
      </c>
      <c r="F30" s="124">
        <v>6735.1</v>
      </c>
      <c r="G30" s="160">
        <v>7.01</v>
      </c>
      <c r="H30" s="168">
        <v>254</v>
      </c>
      <c r="I30" s="185">
        <f t="shared" si="4"/>
        <v>19.735799999999998</v>
      </c>
      <c r="J30" s="160"/>
      <c r="K30" s="160"/>
      <c r="L30" s="163">
        <f t="shared" si="2"/>
        <v>0</v>
      </c>
      <c r="M30" s="240">
        <v>33.11</v>
      </c>
      <c r="N30" s="235">
        <f t="shared" si="0"/>
        <v>13.374200000000002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120">
        <f t="shared" si="1"/>
        <v>26</v>
      </c>
      <c r="C31" s="58" t="s">
        <v>84</v>
      </c>
      <c r="D31" s="47" t="s">
        <v>85</v>
      </c>
      <c r="E31" s="52">
        <v>27</v>
      </c>
      <c r="F31" s="124">
        <v>13989.3</v>
      </c>
      <c r="G31" s="160">
        <v>6.35</v>
      </c>
      <c r="H31" s="168">
        <f>374+312</f>
        <v>686</v>
      </c>
      <c r="I31" s="185">
        <f t="shared" si="4"/>
        <v>53.302200000000006</v>
      </c>
      <c r="J31" s="160"/>
      <c r="K31" s="160"/>
      <c r="L31" s="163">
        <f t="shared" si="2"/>
        <v>0</v>
      </c>
      <c r="M31" s="240">
        <f>34.27+30.81</f>
        <v>65.08</v>
      </c>
      <c r="N31" s="235">
        <f t="shared" si="0"/>
        <v>11.777799999999992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120">
        <f t="shared" si="1"/>
        <v>27</v>
      </c>
      <c r="C32" s="58" t="s">
        <v>2</v>
      </c>
      <c r="D32" s="47" t="s">
        <v>85</v>
      </c>
      <c r="E32" s="52">
        <v>29</v>
      </c>
      <c r="F32" s="124">
        <v>13695.4</v>
      </c>
      <c r="G32" s="160">
        <v>6.44</v>
      </c>
      <c r="H32" s="168">
        <v>550</v>
      </c>
      <c r="I32" s="185">
        <f t="shared" si="4"/>
        <v>42.735</v>
      </c>
      <c r="J32" s="113"/>
      <c r="K32" s="113">
        <v>6</v>
      </c>
      <c r="L32" s="163">
        <f t="shared" si="2"/>
        <v>0.36072</v>
      </c>
      <c r="M32" s="240">
        <v>56.3</v>
      </c>
      <c r="N32" s="235">
        <f t="shared" si="0"/>
        <v>13.204279999999997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120">
        <f t="shared" si="1"/>
        <v>28</v>
      </c>
      <c r="C33" s="58" t="s">
        <v>3</v>
      </c>
      <c r="D33" s="47" t="s">
        <v>85</v>
      </c>
      <c r="E33" s="52">
        <v>31</v>
      </c>
      <c r="F33" s="124">
        <v>6360.3</v>
      </c>
      <c r="G33" s="160">
        <v>8.28</v>
      </c>
      <c r="H33" s="168">
        <v>257</v>
      </c>
      <c r="I33" s="185">
        <f t="shared" si="4"/>
        <v>19.9689</v>
      </c>
      <c r="J33" s="113"/>
      <c r="K33" s="113">
        <v>3</v>
      </c>
      <c r="L33" s="163">
        <f t="shared" si="2"/>
        <v>0.18036</v>
      </c>
      <c r="M33" s="240">
        <v>26.83</v>
      </c>
      <c r="N33" s="235">
        <f t="shared" si="0"/>
        <v>6.680739999999997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120">
        <f t="shared" si="1"/>
        <v>29</v>
      </c>
      <c r="C34" s="58" t="s">
        <v>4</v>
      </c>
      <c r="D34" s="47" t="s">
        <v>113</v>
      </c>
      <c r="E34" s="52" t="s">
        <v>114</v>
      </c>
      <c r="F34" s="124">
        <v>12946.5</v>
      </c>
      <c r="G34" s="160">
        <v>7.09</v>
      </c>
      <c r="H34" s="168">
        <v>400</v>
      </c>
      <c r="I34" s="185">
        <f t="shared" si="4"/>
        <v>31.08</v>
      </c>
      <c r="J34" s="113"/>
      <c r="K34" s="113">
        <v>25</v>
      </c>
      <c r="L34" s="163">
        <f t="shared" si="2"/>
        <v>1.503</v>
      </c>
      <c r="M34" s="240">
        <v>43.16</v>
      </c>
      <c r="N34" s="235">
        <f t="shared" si="0"/>
        <v>10.576999999999998</v>
      </c>
      <c r="O34" s="75"/>
      <c r="P34" s="3"/>
    </row>
    <row r="35" spans="2:16" ht="12.75" customHeight="1">
      <c r="B35" s="120">
        <f t="shared" si="1"/>
        <v>30</v>
      </c>
      <c r="C35" s="58" t="s">
        <v>5</v>
      </c>
      <c r="D35" s="47" t="s">
        <v>113</v>
      </c>
      <c r="E35" s="52">
        <v>35</v>
      </c>
      <c r="F35" s="124">
        <v>12207.7</v>
      </c>
      <c r="G35" s="160">
        <v>7.12</v>
      </c>
      <c r="H35" s="168">
        <v>462</v>
      </c>
      <c r="I35" s="185">
        <f t="shared" si="4"/>
        <v>35.897400000000005</v>
      </c>
      <c r="J35" s="113"/>
      <c r="K35" s="113"/>
      <c r="L35" s="163">
        <f t="shared" si="2"/>
        <v>0</v>
      </c>
      <c r="M35" s="240">
        <v>43.72</v>
      </c>
      <c r="N35" s="235">
        <f t="shared" si="0"/>
        <v>7.822599999999994</v>
      </c>
      <c r="O35" s="75"/>
      <c r="P35" s="3"/>
    </row>
    <row r="36" spans="2:16" ht="12.75" customHeight="1">
      <c r="B36" s="120">
        <f t="shared" si="1"/>
        <v>31</v>
      </c>
      <c r="C36" s="58" t="s">
        <v>6</v>
      </c>
      <c r="D36" s="47" t="s">
        <v>113</v>
      </c>
      <c r="E36" s="52">
        <v>39</v>
      </c>
      <c r="F36" s="124">
        <v>4902.2</v>
      </c>
      <c r="G36" s="160">
        <v>6.51</v>
      </c>
      <c r="H36" s="168">
        <v>200</v>
      </c>
      <c r="I36" s="185">
        <f t="shared" si="4"/>
        <v>15.54</v>
      </c>
      <c r="J36" s="113"/>
      <c r="K36" s="113"/>
      <c r="L36" s="163">
        <f t="shared" si="2"/>
        <v>0</v>
      </c>
      <c r="M36" s="240">
        <v>17.34</v>
      </c>
      <c r="N36" s="235">
        <f t="shared" si="0"/>
        <v>1.8000000000000007</v>
      </c>
      <c r="O36" s="75"/>
      <c r="P36" s="3"/>
    </row>
    <row r="37" spans="2:28" ht="12.75" customHeight="1">
      <c r="B37" s="120">
        <f t="shared" si="1"/>
        <v>32</v>
      </c>
      <c r="C37" s="58" t="s">
        <v>64</v>
      </c>
      <c r="D37" s="47" t="s">
        <v>101</v>
      </c>
      <c r="E37" s="52">
        <v>33</v>
      </c>
      <c r="F37" s="124">
        <v>19674.8</v>
      </c>
      <c r="G37" s="160">
        <v>6.92</v>
      </c>
      <c r="H37" s="168">
        <f>406+333</f>
        <v>739</v>
      </c>
      <c r="I37" s="185">
        <f t="shared" si="4"/>
        <v>57.420300000000005</v>
      </c>
      <c r="J37" s="160"/>
      <c r="K37" s="160">
        <v>8</v>
      </c>
      <c r="L37" s="163">
        <f t="shared" si="2"/>
        <v>0.48096</v>
      </c>
      <c r="M37" s="240">
        <f>41.23+34.65</f>
        <v>75.88</v>
      </c>
      <c r="N37" s="235">
        <f t="shared" si="0"/>
        <v>17.97873999999999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120">
        <f t="shared" si="1"/>
        <v>33</v>
      </c>
      <c r="C38" s="58" t="s">
        <v>7</v>
      </c>
      <c r="D38" s="47" t="s">
        <v>101</v>
      </c>
      <c r="E38" s="52">
        <v>35</v>
      </c>
      <c r="F38" s="124">
        <v>10939</v>
      </c>
      <c r="G38" s="160">
        <v>7.72</v>
      </c>
      <c r="H38" s="168">
        <v>503</v>
      </c>
      <c r="I38" s="185">
        <f t="shared" si="4"/>
        <v>39.0831</v>
      </c>
      <c r="J38" s="113"/>
      <c r="K38" s="113">
        <v>37</v>
      </c>
      <c r="L38" s="163">
        <f t="shared" si="2"/>
        <v>2.22444</v>
      </c>
      <c r="M38" s="240">
        <v>55.02</v>
      </c>
      <c r="N38" s="235">
        <f aca="true" t="shared" si="5" ref="N38:N64">M38-I38-J38-L38</f>
        <v>13.712460000000002</v>
      </c>
      <c r="O38" s="75"/>
      <c r="P38" s="3"/>
    </row>
    <row r="39" spans="2:28" ht="12.75" customHeight="1">
      <c r="B39" s="120">
        <f aca="true" t="shared" si="6" ref="B39:B64">B38+1</f>
        <v>34</v>
      </c>
      <c r="C39" s="58" t="s">
        <v>8</v>
      </c>
      <c r="D39" s="47" t="s">
        <v>85</v>
      </c>
      <c r="E39" s="52">
        <v>33</v>
      </c>
      <c r="F39" s="124">
        <v>6730.4</v>
      </c>
      <c r="G39" s="160">
        <v>8.49</v>
      </c>
      <c r="H39" s="168">
        <v>295</v>
      </c>
      <c r="I39" s="185">
        <f t="shared" si="4"/>
        <v>22.9215</v>
      </c>
      <c r="J39" s="113"/>
      <c r="K39" s="113"/>
      <c r="L39" s="163">
        <f aca="true" t="shared" si="7" ref="L39:L64">K39*60.12/1000</f>
        <v>0</v>
      </c>
      <c r="M39" s="240">
        <v>34.91</v>
      </c>
      <c r="N39" s="235">
        <f t="shared" si="5"/>
        <v>11.988499999999995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120">
        <f t="shared" si="6"/>
        <v>35</v>
      </c>
      <c r="C40" s="58" t="s">
        <v>9</v>
      </c>
      <c r="D40" s="48" t="s">
        <v>101</v>
      </c>
      <c r="E40" s="52">
        <v>45</v>
      </c>
      <c r="F40" s="124">
        <v>6586.2</v>
      </c>
      <c r="G40" s="164">
        <v>6</v>
      </c>
      <c r="H40" s="211">
        <v>210</v>
      </c>
      <c r="I40" s="185">
        <f t="shared" si="4"/>
        <v>16.317</v>
      </c>
      <c r="J40" s="83"/>
      <c r="K40" s="83">
        <v>20</v>
      </c>
      <c r="L40" s="163">
        <f t="shared" si="7"/>
        <v>1.2024</v>
      </c>
      <c r="M40" s="240">
        <v>22.72</v>
      </c>
      <c r="N40" s="235">
        <f t="shared" si="5"/>
        <v>5.200599999999999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120">
        <f t="shared" si="6"/>
        <v>36</v>
      </c>
      <c r="C41" s="58" t="s">
        <v>10</v>
      </c>
      <c r="D41" s="47" t="s">
        <v>113</v>
      </c>
      <c r="E41" s="52" t="s">
        <v>115</v>
      </c>
      <c r="F41" s="124">
        <v>2378.8</v>
      </c>
      <c r="G41" s="160">
        <v>9.9</v>
      </c>
      <c r="H41" s="168">
        <v>80</v>
      </c>
      <c r="I41" s="185">
        <f t="shared" si="4"/>
        <v>6.216</v>
      </c>
      <c r="J41" s="113"/>
      <c r="K41" s="113">
        <v>3</v>
      </c>
      <c r="L41" s="163">
        <f t="shared" si="7"/>
        <v>0.18036</v>
      </c>
      <c r="M41" s="240">
        <v>10.32</v>
      </c>
      <c r="N41" s="235">
        <f t="shared" si="5"/>
        <v>3.9236400000000002</v>
      </c>
      <c r="O41" s="75"/>
      <c r="P41" s="3"/>
    </row>
    <row r="42" spans="2:28" ht="12.75" customHeight="1">
      <c r="B42" s="120">
        <f t="shared" si="6"/>
        <v>37</v>
      </c>
      <c r="C42" s="58" t="s">
        <v>100</v>
      </c>
      <c r="D42" s="47" t="s">
        <v>98</v>
      </c>
      <c r="E42" s="52">
        <v>138</v>
      </c>
      <c r="F42" s="124">
        <v>7175.7</v>
      </c>
      <c r="G42" s="160">
        <v>9.51</v>
      </c>
      <c r="H42" s="168">
        <v>244</v>
      </c>
      <c r="I42" s="185">
        <f t="shared" si="4"/>
        <v>18.9588</v>
      </c>
      <c r="J42" s="113"/>
      <c r="K42" s="113">
        <v>26</v>
      </c>
      <c r="L42" s="163">
        <f t="shared" si="7"/>
        <v>1.5631199999999998</v>
      </c>
      <c r="M42" s="240">
        <v>21.62</v>
      </c>
      <c r="N42" s="235">
        <f t="shared" si="5"/>
        <v>1.098080000000001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120">
        <f t="shared" si="6"/>
        <v>38</v>
      </c>
      <c r="C43" s="58" t="s">
        <v>58</v>
      </c>
      <c r="D43" s="49" t="s">
        <v>98</v>
      </c>
      <c r="E43" s="53" t="s">
        <v>99</v>
      </c>
      <c r="F43" s="131">
        <v>4256.7</v>
      </c>
      <c r="G43" s="160">
        <v>8.06</v>
      </c>
      <c r="H43" s="168">
        <v>120</v>
      </c>
      <c r="I43" s="185">
        <f t="shared" si="4"/>
        <v>9.324</v>
      </c>
      <c r="J43" s="160"/>
      <c r="K43" s="160"/>
      <c r="L43" s="163">
        <f t="shared" si="7"/>
        <v>0</v>
      </c>
      <c r="M43" s="280"/>
      <c r="N43" s="235">
        <f t="shared" si="5"/>
        <v>-9.324</v>
      </c>
      <c r="O43" s="75"/>
      <c r="P43" s="3"/>
      <c r="Q43" s="252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120">
        <f t="shared" si="6"/>
        <v>39</v>
      </c>
      <c r="C44" s="58" t="s">
        <v>12</v>
      </c>
      <c r="D44" s="47" t="s">
        <v>75</v>
      </c>
      <c r="E44" s="52">
        <v>59</v>
      </c>
      <c r="F44" s="124">
        <v>5797</v>
      </c>
      <c r="G44" s="160">
        <v>8.87</v>
      </c>
      <c r="H44" s="168">
        <v>126</v>
      </c>
      <c r="I44" s="185">
        <f t="shared" si="4"/>
        <v>9.7902</v>
      </c>
      <c r="J44" s="161"/>
      <c r="K44" s="161"/>
      <c r="L44" s="163">
        <f t="shared" si="7"/>
        <v>0</v>
      </c>
      <c r="M44" s="240">
        <v>9.22</v>
      </c>
      <c r="N44" s="235">
        <f t="shared" si="5"/>
        <v>-0.5701999999999998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120">
        <f t="shared" si="6"/>
        <v>40</v>
      </c>
      <c r="C45" s="58" t="s">
        <v>134</v>
      </c>
      <c r="D45" s="47" t="s">
        <v>75</v>
      </c>
      <c r="E45" s="52" t="s">
        <v>115</v>
      </c>
      <c r="F45" s="124">
        <v>5325.4</v>
      </c>
      <c r="G45" s="160">
        <v>8.06</v>
      </c>
      <c r="H45" s="168">
        <v>16</v>
      </c>
      <c r="I45" s="206"/>
      <c r="J45" s="163">
        <f>H45*60.12/1000</f>
        <v>0.96192</v>
      </c>
      <c r="K45" s="163"/>
      <c r="L45" s="163">
        <f t="shared" si="7"/>
        <v>0</v>
      </c>
      <c r="M45" s="240">
        <v>3.17</v>
      </c>
      <c r="N45" s="235">
        <f t="shared" si="5"/>
        <v>2.20808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120">
        <f t="shared" si="6"/>
        <v>41</v>
      </c>
      <c r="C46" s="58" t="s">
        <v>13</v>
      </c>
      <c r="D46" s="47" t="s">
        <v>76</v>
      </c>
      <c r="E46" s="52">
        <v>5</v>
      </c>
      <c r="F46" s="124">
        <v>11675.3</v>
      </c>
      <c r="G46" s="160">
        <v>6.93</v>
      </c>
      <c r="H46" s="168">
        <v>531</v>
      </c>
      <c r="I46" s="185">
        <f aca="true" t="shared" si="8" ref="I46:I52">H46*77.7/1000</f>
        <v>41.258700000000005</v>
      </c>
      <c r="J46" s="113"/>
      <c r="K46" s="113"/>
      <c r="L46" s="163">
        <f t="shared" si="7"/>
        <v>0</v>
      </c>
      <c r="M46" s="240">
        <v>48.49</v>
      </c>
      <c r="N46" s="235">
        <f t="shared" si="5"/>
        <v>7.231299999999997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120">
        <f t="shared" si="6"/>
        <v>42</v>
      </c>
      <c r="C47" s="58" t="s">
        <v>14</v>
      </c>
      <c r="D47" s="47" t="s">
        <v>76</v>
      </c>
      <c r="E47" s="52" t="s">
        <v>77</v>
      </c>
      <c r="F47" s="124">
        <v>3803.7</v>
      </c>
      <c r="G47" s="160">
        <v>8.71</v>
      </c>
      <c r="H47" s="168">
        <v>115</v>
      </c>
      <c r="I47" s="185">
        <f t="shared" si="8"/>
        <v>8.9355</v>
      </c>
      <c r="J47" s="113"/>
      <c r="K47" s="113">
        <v>14</v>
      </c>
      <c r="L47" s="163">
        <f t="shared" si="7"/>
        <v>0.84168</v>
      </c>
      <c r="M47" s="240">
        <v>11.93</v>
      </c>
      <c r="N47" s="235">
        <f t="shared" si="5"/>
        <v>2.15282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120">
        <f t="shared" si="6"/>
        <v>43</v>
      </c>
      <c r="C48" s="58" t="s">
        <v>15</v>
      </c>
      <c r="D48" s="47" t="s">
        <v>86</v>
      </c>
      <c r="E48" s="52" t="s">
        <v>87</v>
      </c>
      <c r="F48" s="124">
        <v>13733.1</v>
      </c>
      <c r="G48" s="160">
        <v>7.56</v>
      </c>
      <c r="H48" s="168">
        <v>646</v>
      </c>
      <c r="I48" s="185">
        <f t="shared" si="8"/>
        <v>50.1942</v>
      </c>
      <c r="J48" s="160"/>
      <c r="K48" s="160"/>
      <c r="L48" s="163">
        <f t="shared" si="7"/>
        <v>0</v>
      </c>
      <c r="M48" s="240">
        <v>49.61</v>
      </c>
      <c r="N48" s="235">
        <f t="shared" si="5"/>
        <v>-0.5842000000000027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120">
        <f t="shared" si="6"/>
        <v>44</v>
      </c>
      <c r="C49" s="58" t="s">
        <v>90</v>
      </c>
      <c r="D49" s="47" t="s">
        <v>86</v>
      </c>
      <c r="E49" s="52" t="s">
        <v>91</v>
      </c>
      <c r="F49" s="124">
        <v>8981.6</v>
      </c>
      <c r="G49" s="160">
        <v>7.48</v>
      </c>
      <c r="H49" s="168">
        <v>389</v>
      </c>
      <c r="I49" s="185">
        <f t="shared" si="8"/>
        <v>30.225300000000004</v>
      </c>
      <c r="J49" s="160"/>
      <c r="K49" s="160"/>
      <c r="L49" s="163">
        <f t="shared" si="7"/>
        <v>0</v>
      </c>
      <c r="M49" s="240">
        <v>35.21</v>
      </c>
      <c r="N49" s="235">
        <f t="shared" si="5"/>
        <v>4.984699999999997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120">
        <f t="shared" si="6"/>
        <v>45</v>
      </c>
      <c r="C50" s="58" t="s">
        <v>88</v>
      </c>
      <c r="D50" s="47" t="s">
        <v>86</v>
      </c>
      <c r="E50" s="52" t="s">
        <v>89</v>
      </c>
      <c r="F50" s="124">
        <v>4789.4</v>
      </c>
      <c r="G50" s="160">
        <v>7.44</v>
      </c>
      <c r="H50" s="168">
        <v>209</v>
      </c>
      <c r="I50" s="185">
        <f t="shared" si="8"/>
        <v>16.2393</v>
      </c>
      <c r="J50" s="113"/>
      <c r="K50" s="113"/>
      <c r="L50" s="163">
        <f t="shared" si="7"/>
        <v>0</v>
      </c>
      <c r="M50" s="240">
        <v>18.96</v>
      </c>
      <c r="N50" s="235">
        <f t="shared" si="5"/>
        <v>2.720700000000001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120">
        <f t="shared" si="6"/>
        <v>46</v>
      </c>
      <c r="C51" s="58" t="s">
        <v>92</v>
      </c>
      <c r="D51" s="47" t="s">
        <v>86</v>
      </c>
      <c r="E51" s="52" t="s">
        <v>93</v>
      </c>
      <c r="F51" s="124">
        <v>5273.8</v>
      </c>
      <c r="G51" s="160">
        <v>6.64</v>
      </c>
      <c r="H51" s="168">
        <v>336</v>
      </c>
      <c r="I51" s="185">
        <f t="shared" si="8"/>
        <v>26.107200000000002</v>
      </c>
      <c r="J51" s="113"/>
      <c r="K51" s="113"/>
      <c r="L51" s="163">
        <f t="shared" si="7"/>
        <v>0</v>
      </c>
      <c r="M51" s="200">
        <v>24.12</v>
      </c>
      <c r="N51" s="235">
        <f t="shared" si="5"/>
        <v>-1.9872000000000014</v>
      </c>
      <c r="O51" s="75"/>
      <c r="P51" s="3"/>
      <c r="Q51" s="252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120">
        <f t="shared" si="6"/>
        <v>47</v>
      </c>
      <c r="C52" s="58" t="s">
        <v>19</v>
      </c>
      <c r="D52" s="47" t="s">
        <v>83</v>
      </c>
      <c r="E52" s="52">
        <v>108</v>
      </c>
      <c r="F52" s="124">
        <v>11125.8</v>
      </c>
      <c r="G52" s="160">
        <v>6.91</v>
      </c>
      <c r="H52" s="168">
        <v>597</v>
      </c>
      <c r="I52" s="185">
        <f t="shared" si="8"/>
        <v>46.386900000000004</v>
      </c>
      <c r="J52" s="113"/>
      <c r="K52" s="113">
        <v>7</v>
      </c>
      <c r="L52" s="163">
        <f t="shared" si="7"/>
        <v>0.42084</v>
      </c>
      <c r="M52" s="240">
        <v>37.9</v>
      </c>
      <c r="N52" s="235">
        <f t="shared" si="5"/>
        <v>-8.907740000000006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120">
        <f t="shared" si="6"/>
        <v>48</v>
      </c>
      <c r="C53" s="58" t="s">
        <v>70</v>
      </c>
      <c r="D53" s="47" t="s">
        <v>83</v>
      </c>
      <c r="E53" s="52">
        <v>120</v>
      </c>
      <c r="F53" s="124">
        <v>6713.5</v>
      </c>
      <c r="G53" s="160">
        <v>8.04</v>
      </c>
      <c r="H53" s="168">
        <v>182</v>
      </c>
      <c r="I53" s="206"/>
      <c r="J53" s="163">
        <f>H53*60.12/1000</f>
        <v>10.941840000000001</v>
      </c>
      <c r="K53" s="163"/>
      <c r="L53" s="163">
        <f t="shared" si="7"/>
        <v>0</v>
      </c>
      <c r="M53" s="240">
        <v>16.52</v>
      </c>
      <c r="N53" s="235">
        <f t="shared" si="5"/>
        <v>5.578159999999999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120">
        <f t="shared" si="6"/>
        <v>49</v>
      </c>
      <c r="C54" s="58" t="s">
        <v>135</v>
      </c>
      <c r="D54" s="47" t="s">
        <v>83</v>
      </c>
      <c r="E54" s="52">
        <v>124</v>
      </c>
      <c r="F54" s="124">
        <v>6718.7</v>
      </c>
      <c r="G54" s="160">
        <v>6.48</v>
      </c>
      <c r="H54" s="168">
        <v>151</v>
      </c>
      <c r="I54" s="206"/>
      <c r="J54" s="163">
        <f>H54*60.12/1000</f>
        <v>9.078119999999998</v>
      </c>
      <c r="K54" s="163"/>
      <c r="L54" s="163">
        <f t="shared" si="7"/>
        <v>0</v>
      </c>
      <c r="M54" s="240">
        <v>16.58</v>
      </c>
      <c r="N54" s="235">
        <f t="shared" si="5"/>
        <v>7.50188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120">
        <f t="shared" si="6"/>
        <v>50</v>
      </c>
      <c r="C55" s="58" t="s">
        <v>136</v>
      </c>
      <c r="D55" s="47" t="s">
        <v>83</v>
      </c>
      <c r="E55" s="52">
        <v>128</v>
      </c>
      <c r="F55" s="124">
        <v>6706.5</v>
      </c>
      <c r="G55" s="160">
        <v>6.48</v>
      </c>
      <c r="H55" s="168">
        <v>233</v>
      </c>
      <c r="I55" s="206"/>
      <c r="J55" s="163">
        <f>H55*60.12/1000</f>
        <v>14.007959999999999</v>
      </c>
      <c r="K55" s="163"/>
      <c r="L55" s="163">
        <f t="shared" si="7"/>
        <v>0</v>
      </c>
      <c r="M55" s="240">
        <v>17.81</v>
      </c>
      <c r="N55" s="235">
        <f t="shared" si="5"/>
        <v>3.80204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28" ht="12.75" customHeight="1">
      <c r="B56" s="120">
        <f t="shared" si="6"/>
        <v>51</v>
      </c>
      <c r="C56" s="58" t="s">
        <v>20</v>
      </c>
      <c r="D56" s="47" t="s">
        <v>83</v>
      </c>
      <c r="E56" s="52">
        <v>110</v>
      </c>
      <c r="F56" s="124">
        <v>11638.3</v>
      </c>
      <c r="G56" s="160">
        <v>7.26</v>
      </c>
      <c r="H56" s="168">
        <v>450</v>
      </c>
      <c r="I56" s="185">
        <f aca="true" t="shared" si="9" ref="I56:I62">H56*77.7/1000</f>
        <v>34.965</v>
      </c>
      <c r="J56" s="113"/>
      <c r="K56" s="113"/>
      <c r="L56" s="163">
        <f t="shared" si="7"/>
        <v>0</v>
      </c>
      <c r="M56" s="240">
        <v>32.59</v>
      </c>
      <c r="N56" s="235">
        <f t="shared" si="5"/>
        <v>-2.375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3"/>
    </row>
    <row r="57" spans="2:28" ht="12.75" customHeight="1">
      <c r="B57" s="120">
        <f t="shared" si="6"/>
        <v>52</v>
      </c>
      <c r="C57" s="58" t="s">
        <v>21</v>
      </c>
      <c r="D57" s="47" t="s">
        <v>83</v>
      </c>
      <c r="E57" s="52">
        <v>114</v>
      </c>
      <c r="F57" s="124">
        <v>9185</v>
      </c>
      <c r="G57" s="160">
        <v>7.06</v>
      </c>
      <c r="H57" s="168">
        <v>452</v>
      </c>
      <c r="I57" s="185">
        <f t="shared" si="9"/>
        <v>35.120400000000004</v>
      </c>
      <c r="J57" s="113"/>
      <c r="K57" s="113"/>
      <c r="L57" s="163">
        <f t="shared" si="7"/>
        <v>0</v>
      </c>
      <c r="M57" s="240">
        <v>34.35</v>
      </c>
      <c r="N57" s="235">
        <f t="shared" si="5"/>
        <v>-0.7704000000000022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120">
        <f t="shared" si="6"/>
        <v>53</v>
      </c>
      <c r="C58" s="58" t="s">
        <v>22</v>
      </c>
      <c r="D58" s="47" t="s">
        <v>83</v>
      </c>
      <c r="E58" s="52">
        <v>118</v>
      </c>
      <c r="F58" s="124">
        <v>9190.4</v>
      </c>
      <c r="G58" s="160">
        <v>7.09</v>
      </c>
      <c r="H58" s="168">
        <v>414</v>
      </c>
      <c r="I58" s="185">
        <f t="shared" si="9"/>
        <v>32.1678</v>
      </c>
      <c r="J58" s="113"/>
      <c r="K58" s="113"/>
      <c r="L58" s="163">
        <f t="shared" si="7"/>
        <v>0</v>
      </c>
      <c r="M58" s="240">
        <v>35.37</v>
      </c>
      <c r="N58" s="235">
        <f t="shared" si="5"/>
        <v>3.2021999999999977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</row>
    <row r="59" spans="2:28" ht="12.75" customHeight="1">
      <c r="B59" s="120">
        <f t="shared" si="6"/>
        <v>54</v>
      </c>
      <c r="C59" s="58" t="s">
        <v>23</v>
      </c>
      <c r="D59" s="47" t="s">
        <v>83</v>
      </c>
      <c r="E59" s="52">
        <v>122</v>
      </c>
      <c r="F59" s="124">
        <v>9187.9</v>
      </c>
      <c r="G59" s="160">
        <v>5.76</v>
      </c>
      <c r="H59" s="168">
        <v>466</v>
      </c>
      <c r="I59" s="185">
        <f t="shared" si="9"/>
        <v>36.208200000000005</v>
      </c>
      <c r="J59" s="113"/>
      <c r="K59" s="113"/>
      <c r="L59" s="163">
        <f t="shared" si="7"/>
        <v>0</v>
      </c>
      <c r="M59" s="240">
        <v>37.78</v>
      </c>
      <c r="N59" s="235">
        <f t="shared" si="5"/>
        <v>1.571799999999996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120">
        <f t="shared" si="6"/>
        <v>55</v>
      </c>
      <c r="C60" s="58" t="s">
        <v>24</v>
      </c>
      <c r="D60" s="47" t="s">
        <v>83</v>
      </c>
      <c r="E60" s="52">
        <v>126</v>
      </c>
      <c r="F60" s="124">
        <v>9187.1</v>
      </c>
      <c r="G60" s="160">
        <v>6.36</v>
      </c>
      <c r="H60" s="168">
        <v>549</v>
      </c>
      <c r="I60" s="185">
        <f t="shared" si="9"/>
        <v>42.657300000000006</v>
      </c>
      <c r="J60" s="113"/>
      <c r="K60" s="113"/>
      <c r="L60" s="163">
        <f t="shared" si="7"/>
        <v>0</v>
      </c>
      <c r="M60" s="240">
        <v>32.39</v>
      </c>
      <c r="N60" s="235">
        <f t="shared" si="5"/>
        <v>-10.267300000000006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0"/>
    </row>
    <row r="61" spans="2:28" ht="12.75" customHeight="1">
      <c r="B61" s="120">
        <f t="shared" si="6"/>
        <v>56</v>
      </c>
      <c r="C61" s="58" t="s">
        <v>81</v>
      </c>
      <c r="D61" s="47" t="s">
        <v>79</v>
      </c>
      <c r="E61" s="52" t="s">
        <v>82</v>
      </c>
      <c r="F61" s="124">
        <v>6886.8</v>
      </c>
      <c r="G61" s="160">
        <v>6.76</v>
      </c>
      <c r="H61" s="168">
        <v>235</v>
      </c>
      <c r="I61" s="185">
        <f t="shared" si="9"/>
        <v>18.2595</v>
      </c>
      <c r="J61" s="113"/>
      <c r="K61" s="113">
        <v>9</v>
      </c>
      <c r="L61" s="163">
        <f t="shared" si="7"/>
        <v>0.5410799999999999</v>
      </c>
      <c r="M61" s="160">
        <v>25.11</v>
      </c>
      <c r="N61" s="235">
        <f t="shared" si="5"/>
        <v>6.30942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3"/>
    </row>
    <row r="62" spans="2:32" ht="14.25" customHeight="1" thickBot="1">
      <c r="B62" s="120">
        <f t="shared" si="6"/>
        <v>57</v>
      </c>
      <c r="C62" s="140" t="s">
        <v>78</v>
      </c>
      <c r="D62" s="141" t="s">
        <v>79</v>
      </c>
      <c r="E62" s="142" t="s">
        <v>80</v>
      </c>
      <c r="F62" s="129">
        <v>4261.1</v>
      </c>
      <c r="G62" s="173">
        <v>9.62</v>
      </c>
      <c r="H62" s="169">
        <v>151</v>
      </c>
      <c r="I62" s="185">
        <f t="shared" si="9"/>
        <v>11.732700000000001</v>
      </c>
      <c r="J62" s="172"/>
      <c r="K62" s="172"/>
      <c r="L62" s="163">
        <f t="shared" si="7"/>
        <v>0</v>
      </c>
      <c r="M62" s="251">
        <v>16.07</v>
      </c>
      <c r="N62" s="235">
        <f t="shared" si="5"/>
        <v>4.337299999999999</v>
      </c>
      <c r="O62" s="76"/>
      <c r="P62" s="25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0"/>
      <c r="AF62" s="1"/>
    </row>
    <row r="63" spans="2:32" ht="14.25" customHeight="1">
      <c r="B63" s="120">
        <f t="shared" si="6"/>
        <v>58</v>
      </c>
      <c r="C63" s="140" t="s">
        <v>144</v>
      </c>
      <c r="D63" s="141" t="s">
        <v>101</v>
      </c>
      <c r="E63" s="142">
        <v>32</v>
      </c>
      <c r="F63" s="124">
        <v>28893.1</v>
      </c>
      <c r="G63" s="173">
        <v>8.06</v>
      </c>
      <c r="H63" s="169">
        <v>270</v>
      </c>
      <c r="I63" s="208"/>
      <c r="J63" s="163">
        <f>H63*60.12/1000</f>
        <v>16.2324</v>
      </c>
      <c r="K63" s="228"/>
      <c r="L63" s="163">
        <f t="shared" si="7"/>
        <v>0</v>
      </c>
      <c r="M63" s="173">
        <f>37.5+30.58</f>
        <v>68.08</v>
      </c>
      <c r="N63" s="235">
        <f t="shared" si="5"/>
        <v>51.8476</v>
      </c>
      <c r="O63" s="14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 thickBot="1">
      <c r="B64" s="120">
        <f t="shared" si="6"/>
        <v>59</v>
      </c>
      <c r="C64" s="59" t="s">
        <v>145</v>
      </c>
      <c r="D64" s="50" t="s">
        <v>101</v>
      </c>
      <c r="E64" s="54">
        <v>36</v>
      </c>
      <c r="F64" s="129">
        <v>14015.8</v>
      </c>
      <c r="G64" s="174">
        <v>8.06</v>
      </c>
      <c r="H64" s="170">
        <v>161</v>
      </c>
      <c r="I64" s="209"/>
      <c r="J64" s="163">
        <f>H64*60.12/1000</f>
        <v>9.67932</v>
      </c>
      <c r="K64" s="228"/>
      <c r="L64" s="163">
        <f t="shared" si="7"/>
        <v>0</v>
      </c>
      <c r="M64" s="244">
        <v>31.35</v>
      </c>
      <c r="N64" s="235">
        <f t="shared" si="5"/>
        <v>21.67068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14" ht="13.5" thickBot="1">
      <c r="B65" s="85"/>
      <c r="C65" s="10"/>
      <c r="D65" s="10"/>
      <c r="E65" s="8"/>
      <c r="F65" s="156">
        <f>SUM(F6:F64)</f>
        <v>599454.5</v>
      </c>
      <c r="G65" s="79"/>
      <c r="H65" s="212"/>
      <c r="I65" s="245">
        <f aca="true" t="shared" si="10" ref="I65:N65">SUM(I6:I64)</f>
        <v>1007.4582</v>
      </c>
      <c r="J65" s="245">
        <f t="shared" si="10"/>
        <v>490.21848000000006</v>
      </c>
      <c r="K65" s="245">
        <f t="shared" si="10"/>
        <v>275</v>
      </c>
      <c r="L65" s="245">
        <f t="shared" si="10"/>
        <v>16.532999999999998</v>
      </c>
      <c r="M65" s="245">
        <f t="shared" si="10"/>
        <v>1900.2899999999995</v>
      </c>
      <c r="N65" s="245">
        <f t="shared" si="10"/>
        <v>386.0803199999999</v>
      </c>
    </row>
    <row r="66" ht="12.75">
      <c r="F66" s="6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66"/>
  <sheetViews>
    <sheetView zoomScalePageLayoutView="0" workbookViewId="0" topLeftCell="C1">
      <pane ySplit="5" topLeftCell="A48" activePane="bottomLeft" state="frozen"/>
      <selection pane="topLeft" activeCell="A1" sqref="A1"/>
      <selection pane="bottomLeft" activeCell="T57" sqref="T57:T58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162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155</v>
      </c>
      <c r="J5" s="182" t="s">
        <v>156</v>
      </c>
      <c r="K5" s="182" t="s">
        <v>163</v>
      </c>
      <c r="L5" s="183" t="s">
        <v>164</v>
      </c>
      <c r="M5" s="182" t="s">
        <v>165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119">
        <v>1</v>
      </c>
      <c r="C6" s="117" t="s">
        <v>131</v>
      </c>
      <c r="D6" s="47" t="s">
        <v>98</v>
      </c>
      <c r="E6" s="46" t="s">
        <v>138</v>
      </c>
      <c r="F6" s="122">
        <v>6457.6</v>
      </c>
      <c r="G6" s="216">
        <v>6.97</v>
      </c>
      <c r="H6" s="193">
        <f>504+158</f>
        <v>662</v>
      </c>
      <c r="I6" s="185">
        <f>H6*77.7/1000</f>
        <v>51.437400000000004</v>
      </c>
      <c r="J6" s="158"/>
      <c r="K6" s="162"/>
      <c r="L6" s="158"/>
      <c r="M6" s="235">
        <f>53+17.26</f>
        <v>70.26</v>
      </c>
      <c r="N6" s="235">
        <f>M6-I6-J6-L6</f>
        <v>18.8226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120">
        <f aca="true" t="shared" si="0" ref="B7:B38">B6+1</f>
        <v>2</v>
      </c>
      <c r="C7" s="118" t="s">
        <v>132</v>
      </c>
      <c r="D7" s="47" t="s">
        <v>98</v>
      </c>
      <c r="E7" s="52">
        <v>79</v>
      </c>
      <c r="F7" s="124">
        <v>12688.5</v>
      </c>
      <c r="G7" s="163">
        <v>7.6</v>
      </c>
      <c r="H7" s="166">
        <f>901+268</f>
        <v>1169</v>
      </c>
      <c r="I7" s="185">
        <f>H7*77.7/1000</f>
        <v>90.8313</v>
      </c>
      <c r="J7" s="82"/>
      <c r="K7" s="163">
        <v>3</v>
      </c>
      <c r="L7" s="163">
        <f>K7*60.12/1000</f>
        <v>0.18036</v>
      </c>
      <c r="M7" s="250">
        <f>101.75+28.85</f>
        <v>130.6</v>
      </c>
      <c r="N7" s="235">
        <f aca="true" t="shared" si="1" ref="N7:N64">M7-I7-J7-L7</f>
        <v>39.588339999999995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120">
        <f t="shared" si="0"/>
        <v>3</v>
      </c>
      <c r="C8" s="118" t="s">
        <v>133</v>
      </c>
      <c r="D8" s="64" t="s">
        <v>94</v>
      </c>
      <c r="E8" s="52" t="s">
        <v>137</v>
      </c>
      <c r="F8" s="124">
        <v>11181.7</v>
      </c>
      <c r="G8" s="163">
        <v>7.6</v>
      </c>
      <c r="H8" s="166">
        <f>578+201</f>
        <v>779</v>
      </c>
      <c r="I8" s="185"/>
      <c r="J8" s="163">
        <f>H8*60.12/1000</f>
        <v>46.833479999999994</v>
      </c>
      <c r="K8" s="163"/>
      <c r="L8" s="163">
        <f aca="true" t="shared" si="2" ref="L8:L64">K8*60.12/1000</f>
        <v>0</v>
      </c>
      <c r="M8" s="250">
        <f>49.85+14.6</f>
        <v>64.45</v>
      </c>
      <c r="N8" s="235">
        <f t="shared" si="1"/>
        <v>17.61652000000001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120">
        <f t="shared" si="0"/>
        <v>4</v>
      </c>
      <c r="C9" s="65" t="s">
        <v>71</v>
      </c>
      <c r="D9" s="64" t="s">
        <v>94</v>
      </c>
      <c r="E9" s="64" t="s">
        <v>95</v>
      </c>
      <c r="F9" s="155">
        <v>10509.4</v>
      </c>
      <c r="G9" s="159">
        <v>7.56</v>
      </c>
      <c r="H9" s="167">
        <f>240+67</f>
        <v>307</v>
      </c>
      <c r="I9" s="205"/>
      <c r="J9" s="163">
        <f>H9*60.12/1000</f>
        <v>18.45684</v>
      </c>
      <c r="K9" s="162"/>
      <c r="L9" s="163">
        <f t="shared" si="2"/>
        <v>0</v>
      </c>
      <c r="M9" s="237">
        <f>54.19+17.85</f>
        <v>72.03999999999999</v>
      </c>
      <c r="N9" s="235">
        <f t="shared" si="1"/>
        <v>53.58315999999999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120">
        <f t="shared" si="0"/>
        <v>5</v>
      </c>
      <c r="C10" s="57" t="s">
        <v>1</v>
      </c>
      <c r="D10" s="47" t="s">
        <v>96</v>
      </c>
      <c r="E10" s="47" t="s">
        <v>97</v>
      </c>
      <c r="F10" s="155">
        <v>9045.5</v>
      </c>
      <c r="G10" s="160">
        <v>6.41</v>
      </c>
      <c r="H10" s="167">
        <f>470+199</f>
        <v>669</v>
      </c>
      <c r="I10" s="185">
        <f>H10*77.7/1000</f>
        <v>51.981300000000005</v>
      </c>
      <c r="J10" s="115"/>
      <c r="K10" s="159"/>
      <c r="L10" s="163">
        <f t="shared" si="2"/>
        <v>0</v>
      </c>
      <c r="M10" s="237">
        <f>47.08+11.31</f>
        <v>58.39</v>
      </c>
      <c r="N10" s="235">
        <f t="shared" si="1"/>
        <v>6.408699999999996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120">
        <f t="shared" si="0"/>
        <v>6</v>
      </c>
      <c r="C11" s="58" t="s">
        <v>107</v>
      </c>
      <c r="D11" s="47" t="s">
        <v>108</v>
      </c>
      <c r="E11" s="47">
        <v>45</v>
      </c>
      <c r="F11" s="129">
        <v>7179.6</v>
      </c>
      <c r="G11" s="164">
        <v>7.38</v>
      </c>
      <c r="H11" s="211">
        <f>251+116</f>
        <v>367</v>
      </c>
      <c r="I11" s="185">
        <f>H11*77.7/1000</f>
        <v>28.515900000000002</v>
      </c>
      <c r="J11" s="83"/>
      <c r="K11" s="164"/>
      <c r="L11" s="163">
        <f t="shared" si="2"/>
        <v>0</v>
      </c>
      <c r="M11" s="250">
        <f>23.13+8.66</f>
        <v>31.79</v>
      </c>
      <c r="N11" s="235">
        <f t="shared" si="1"/>
        <v>3.274099999999997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120">
        <f t="shared" si="0"/>
        <v>7</v>
      </c>
      <c r="C12" s="58" t="s">
        <v>109</v>
      </c>
      <c r="D12" s="47" t="s">
        <v>108</v>
      </c>
      <c r="E12" s="47" t="s">
        <v>110</v>
      </c>
      <c r="F12" s="124">
        <v>7003.6</v>
      </c>
      <c r="G12" s="164">
        <v>7.05</v>
      </c>
      <c r="H12" s="211">
        <f>253+94</f>
        <v>347</v>
      </c>
      <c r="I12" s="185">
        <f>H12*77.7/1000</f>
        <v>26.9619</v>
      </c>
      <c r="J12" s="83"/>
      <c r="K12" s="164"/>
      <c r="L12" s="163">
        <f t="shared" si="2"/>
        <v>0</v>
      </c>
      <c r="M12" s="250">
        <f>31.93+12.11</f>
        <v>44.04</v>
      </c>
      <c r="N12" s="235">
        <f t="shared" si="1"/>
        <v>17.0781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120">
        <f t="shared" si="0"/>
        <v>8</v>
      </c>
      <c r="C13" s="58" t="s">
        <v>116</v>
      </c>
      <c r="D13" s="48" t="s">
        <v>117</v>
      </c>
      <c r="E13" s="47" t="s">
        <v>118</v>
      </c>
      <c r="F13" s="124">
        <v>6727.7</v>
      </c>
      <c r="G13" s="160">
        <v>5.81</v>
      </c>
      <c r="H13" s="168">
        <f>528+173</f>
        <v>701</v>
      </c>
      <c r="I13" s="185">
        <f>H13*77.7/1000</f>
        <v>54.46770000000001</v>
      </c>
      <c r="J13" s="113"/>
      <c r="K13" s="160"/>
      <c r="L13" s="163">
        <f t="shared" si="2"/>
        <v>0</v>
      </c>
      <c r="M13" s="240">
        <f>37.89+13.88</f>
        <v>51.77</v>
      </c>
      <c r="N13" s="235">
        <f t="shared" si="1"/>
        <v>-2.6977000000000046</v>
      </c>
      <c r="O13" s="75"/>
      <c r="P13" s="3"/>
    </row>
    <row r="14" spans="2:16" ht="12.75" customHeight="1">
      <c r="B14" s="120">
        <f t="shared" si="0"/>
        <v>9</v>
      </c>
      <c r="C14" s="58" t="s">
        <v>128</v>
      </c>
      <c r="D14" s="48" t="s">
        <v>101</v>
      </c>
      <c r="E14" s="47">
        <v>40</v>
      </c>
      <c r="F14" s="124">
        <v>4726.8</v>
      </c>
      <c r="G14" s="160">
        <v>7.6</v>
      </c>
      <c r="H14" s="168">
        <f>89+54</f>
        <v>143</v>
      </c>
      <c r="I14" s="206"/>
      <c r="J14" s="163">
        <f aca="true" t="shared" si="3" ref="J14:J28">H14*60.12/1000</f>
        <v>8.59716</v>
      </c>
      <c r="K14" s="163"/>
      <c r="L14" s="163">
        <f t="shared" si="2"/>
        <v>0</v>
      </c>
      <c r="M14" s="240">
        <f>15.81+3.94</f>
        <v>19.75</v>
      </c>
      <c r="N14" s="235">
        <f t="shared" si="1"/>
        <v>11.15284</v>
      </c>
      <c r="O14" s="75"/>
      <c r="P14" s="3"/>
    </row>
    <row r="15" spans="2:16" ht="12.75" customHeight="1">
      <c r="B15" s="120">
        <f t="shared" si="0"/>
        <v>10</v>
      </c>
      <c r="C15" s="58" t="s">
        <v>129</v>
      </c>
      <c r="D15" s="48" t="s">
        <v>101</v>
      </c>
      <c r="E15" s="47">
        <v>42</v>
      </c>
      <c r="F15" s="124">
        <v>4730.4</v>
      </c>
      <c r="G15" s="160">
        <v>7.6</v>
      </c>
      <c r="H15" s="168">
        <f>213+94</f>
        <v>307</v>
      </c>
      <c r="I15" s="206"/>
      <c r="J15" s="163">
        <f t="shared" si="3"/>
        <v>18.45684</v>
      </c>
      <c r="K15" s="163"/>
      <c r="L15" s="163">
        <f t="shared" si="2"/>
        <v>0</v>
      </c>
      <c r="M15" s="240">
        <f>15.47+6.4</f>
        <v>21.87</v>
      </c>
      <c r="N15" s="235">
        <f t="shared" si="1"/>
        <v>3.4131600000000013</v>
      </c>
      <c r="O15" s="75"/>
      <c r="P15" s="3"/>
    </row>
    <row r="16" spans="2:16" ht="12.75" customHeight="1">
      <c r="B16" s="120">
        <f t="shared" si="0"/>
        <v>11</v>
      </c>
      <c r="C16" s="58" t="s">
        <v>130</v>
      </c>
      <c r="D16" s="48" t="s">
        <v>101</v>
      </c>
      <c r="E16" s="47">
        <v>44</v>
      </c>
      <c r="F16" s="124">
        <v>4727.7</v>
      </c>
      <c r="G16" s="160">
        <v>7.6</v>
      </c>
      <c r="H16" s="168">
        <f>89+42</f>
        <v>131</v>
      </c>
      <c r="I16" s="206"/>
      <c r="J16" s="163">
        <f t="shared" si="3"/>
        <v>7.875719999999999</v>
      </c>
      <c r="K16" s="163"/>
      <c r="L16" s="163">
        <f t="shared" si="2"/>
        <v>0</v>
      </c>
      <c r="M16" s="240">
        <f>14.97+6.56</f>
        <v>21.53</v>
      </c>
      <c r="N16" s="235">
        <f t="shared" si="1"/>
        <v>13.654280000000002</v>
      </c>
      <c r="O16" s="75"/>
      <c r="P16" s="3"/>
    </row>
    <row r="17" spans="2:16" ht="12.75" customHeight="1">
      <c r="B17" s="120">
        <f t="shared" si="0"/>
        <v>12</v>
      </c>
      <c r="C17" s="58" t="s">
        <v>120</v>
      </c>
      <c r="D17" s="48" t="s">
        <v>111</v>
      </c>
      <c r="E17" s="47">
        <v>11</v>
      </c>
      <c r="F17" s="124">
        <v>10656</v>
      </c>
      <c r="G17" s="160">
        <v>7.6</v>
      </c>
      <c r="H17" s="168">
        <f>617+280</f>
        <v>897</v>
      </c>
      <c r="I17" s="206"/>
      <c r="J17" s="163">
        <f t="shared" si="3"/>
        <v>53.92764</v>
      </c>
      <c r="K17" s="163"/>
      <c r="L17" s="163">
        <f t="shared" si="2"/>
        <v>0</v>
      </c>
      <c r="M17" s="240">
        <f>45.43+18.91</f>
        <v>64.34</v>
      </c>
      <c r="N17" s="235">
        <f t="shared" si="1"/>
        <v>10.412360000000007</v>
      </c>
      <c r="O17" s="75"/>
      <c r="P17" s="32"/>
    </row>
    <row r="18" spans="2:28" ht="12.75" customHeight="1">
      <c r="B18" s="120">
        <f t="shared" si="0"/>
        <v>13</v>
      </c>
      <c r="C18" s="58" t="s">
        <v>61</v>
      </c>
      <c r="D18" s="48" t="s">
        <v>101</v>
      </c>
      <c r="E18" s="47">
        <v>13</v>
      </c>
      <c r="F18" s="124">
        <v>3545.7</v>
      </c>
      <c r="G18" s="165">
        <v>7.74</v>
      </c>
      <c r="H18" s="78">
        <f>236+105</f>
        <v>341</v>
      </c>
      <c r="I18" s="207"/>
      <c r="J18" s="163">
        <f t="shared" si="3"/>
        <v>20.500919999999997</v>
      </c>
      <c r="K18" s="163"/>
      <c r="L18" s="163">
        <f t="shared" si="2"/>
        <v>0</v>
      </c>
      <c r="M18" s="250">
        <f>17.91+7.53</f>
        <v>25.44</v>
      </c>
      <c r="N18" s="235">
        <f t="shared" si="1"/>
        <v>4.939080000000004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120">
        <f t="shared" si="0"/>
        <v>14</v>
      </c>
      <c r="C19" s="58" t="s">
        <v>62</v>
      </c>
      <c r="D19" s="48" t="s">
        <v>101</v>
      </c>
      <c r="E19" s="47">
        <v>15</v>
      </c>
      <c r="F19" s="124">
        <v>3547.1</v>
      </c>
      <c r="G19" s="165">
        <v>7.94</v>
      </c>
      <c r="H19" s="78">
        <f>229+94</f>
        <v>323</v>
      </c>
      <c r="I19" s="207"/>
      <c r="J19" s="163">
        <f t="shared" si="3"/>
        <v>19.41876</v>
      </c>
      <c r="K19" s="163"/>
      <c r="L19" s="163">
        <f t="shared" si="2"/>
        <v>0</v>
      </c>
      <c r="M19" s="250">
        <f>14.27+6</f>
        <v>20.27</v>
      </c>
      <c r="N19" s="235">
        <f t="shared" si="1"/>
        <v>0.8512400000000007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120">
        <f t="shared" si="0"/>
        <v>15</v>
      </c>
      <c r="C20" s="58" t="s">
        <v>67</v>
      </c>
      <c r="D20" s="48" t="s">
        <v>101</v>
      </c>
      <c r="E20" s="47" t="s">
        <v>102</v>
      </c>
      <c r="F20" s="124">
        <v>3524.6</v>
      </c>
      <c r="G20" s="160">
        <v>7.6</v>
      </c>
      <c r="H20" s="168">
        <f>172+89</f>
        <v>261</v>
      </c>
      <c r="I20" s="206"/>
      <c r="J20" s="163">
        <f t="shared" si="3"/>
        <v>15.69132</v>
      </c>
      <c r="K20" s="163"/>
      <c r="L20" s="163">
        <f t="shared" si="2"/>
        <v>0</v>
      </c>
      <c r="M20" s="250">
        <f>14.75+4.18</f>
        <v>18.93</v>
      </c>
      <c r="N20" s="235">
        <f t="shared" si="1"/>
        <v>3.2386800000000004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120">
        <f t="shared" si="0"/>
        <v>16</v>
      </c>
      <c r="C21" s="58" t="s">
        <v>126</v>
      </c>
      <c r="D21" s="48" t="s">
        <v>127</v>
      </c>
      <c r="E21" s="47">
        <v>7</v>
      </c>
      <c r="F21" s="124">
        <v>16614.4</v>
      </c>
      <c r="G21" s="160">
        <v>7.6</v>
      </c>
      <c r="H21" s="168">
        <f>681+292</f>
        <v>973</v>
      </c>
      <c r="I21" s="206"/>
      <c r="J21" s="163">
        <f t="shared" si="3"/>
        <v>58.496759999999995</v>
      </c>
      <c r="K21" s="163"/>
      <c r="L21" s="163">
        <f t="shared" si="2"/>
        <v>0</v>
      </c>
      <c r="M21" s="250">
        <f>33.97+31.19+14.44+15.29</f>
        <v>94.88999999999999</v>
      </c>
      <c r="N21" s="235">
        <f t="shared" si="1"/>
        <v>36.39323999999999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120">
        <f t="shared" si="0"/>
        <v>17</v>
      </c>
      <c r="C22" s="58" t="s">
        <v>68</v>
      </c>
      <c r="D22" s="48" t="s">
        <v>111</v>
      </c>
      <c r="E22" s="51" t="s">
        <v>112</v>
      </c>
      <c r="F22" s="124">
        <v>14948.6</v>
      </c>
      <c r="G22" s="160">
        <v>7.28</v>
      </c>
      <c r="H22" s="168">
        <f>804+333</f>
        <v>1137</v>
      </c>
      <c r="I22" s="206"/>
      <c r="J22" s="163">
        <f t="shared" si="3"/>
        <v>68.35644</v>
      </c>
      <c r="K22" s="163"/>
      <c r="L22" s="163">
        <f t="shared" si="2"/>
        <v>0</v>
      </c>
      <c r="M22" s="250">
        <f>55.27+22.77</f>
        <v>78.04</v>
      </c>
      <c r="N22" s="235">
        <f t="shared" si="1"/>
        <v>9.68356</v>
      </c>
      <c r="O22" s="75"/>
      <c r="P22" s="3"/>
    </row>
    <row r="23" spans="2:16" ht="12.75" customHeight="1">
      <c r="B23" s="120">
        <f t="shared" si="0"/>
        <v>18</v>
      </c>
      <c r="C23" s="58" t="s">
        <v>148</v>
      </c>
      <c r="D23" s="48" t="s">
        <v>101</v>
      </c>
      <c r="E23" s="51" t="s">
        <v>149</v>
      </c>
      <c r="F23" s="124">
        <v>8832.7</v>
      </c>
      <c r="G23" s="160">
        <v>7.6</v>
      </c>
      <c r="H23" s="168">
        <f>101+65</f>
        <v>166</v>
      </c>
      <c r="I23" s="206"/>
      <c r="J23" s="163">
        <f t="shared" si="3"/>
        <v>9.97992</v>
      </c>
      <c r="K23" s="163"/>
      <c r="L23" s="163">
        <f t="shared" si="2"/>
        <v>0</v>
      </c>
      <c r="M23" s="250">
        <f>1.98+18.41+1.21+1.26</f>
        <v>22.860000000000003</v>
      </c>
      <c r="N23" s="235">
        <f t="shared" si="1"/>
        <v>12.880080000000003</v>
      </c>
      <c r="O23" s="75"/>
      <c r="P23" s="3"/>
    </row>
    <row r="24" spans="2:28" ht="12.75" customHeight="1">
      <c r="B24" s="120">
        <f t="shared" si="0"/>
        <v>19</v>
      </c>
      <c r="C24" s="58" t="s">
        <v>59</v>
      </c>
      <c r="D24" s="48" t="s">
        <v>101</v>
      </c>
      <c r="E24" s="52">
        <v>21</v>
      </c>
      <c r="F24" s="124">
        <v>19523.1</v>
      </c>
      <c r="G24" s="165">
        <v>6.32</v>
      </c>
      <c r="H24" s="78">
        <f>978+418</f>
        <v>1396</v>
      </c>
      <c r="I24" s="207"/>
      <c r="J24" s="163">
        <f t="shared" si="3"/>
        <v>83.92751999999999</v>
      </c>
      <c r="K24" s="163"/>
      <c r="L24" s="163">
        <f t="shared" si="2"/>
        <v>0</v>
      </c>
      <c r="M24" s="250">
        <f>27.14+38.75+11.81+16.48</f>
        <v>94.18</v>
      </c>
      <c r="N24" s="235">
        <f t="shared" si="1"/>
        <v>10.25248000000002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120">
        <f t="shared" si="0"/>
        <v>20</v>
      </c>
      <c r="C25" s="58" t="s">
        <v>104</v>
      </c>
      <c r="D25" s="48" t="s">
        <v>101</v>
      </c>
      <c r="E25" s="52">
        <v>23</v>
      </c>
      <c r="F25" s="131">
        <v>18481.1</v>
      </c>
      <c r="G25" s="160">
        <v>6.7</v>
      </c>
      <c r="H25" s="168">
        <f>836+348</f>
        <v>1184</v>
      </c>
      <c r="I25" s="206"/>
      <c r="J25" s="163">
        <f t="shared" si="3"/>
        <v>71.18208</v>
      </c>
      <c r="K25" s="163">
        <v>24</v>
      </c>
      <c r="L25" s="163">
        <f t="shared" si="2"/>
        <v>1.44288</v>
      </c>
      <c r="M25" s="242">
        <f>28.76+32.66+12.44+13.79</f>
        <v>87.65</v>
      </c>
      <c r="N25" s="235">
        <f t="shared" si="1"/>
        <v>15.025040000000006</v>
      </c>
      <c r="O25" s="75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120">
        <f t="shared" si="0"/>
        <v>21</v>
      </c>
      <c r="C26" s="58" t="s">
        <v>105</v>
      </c>
      <c r="D26" s="48" t="s">
        <v>101</v>
      </c>
      <c r="E26" s="52">
        <v>25</v>
      </c>
      <c r="F26" s="124">
        <v>18464.4</v>
      </c>
      <c r="G26" s="160">
        <v>6.8</v>
      </c>
      <c r="H26" s="168">
        <f>1067+437</f>
        <v>1504</v>
      </c>
      <c r="I26" s="206"/>
      <c r="J26" s="163">
        <f t="shared" si="3"/>
        <v>90.42048</v>
      </c>
      <c r="K26" s="163"/>
      <c r="L26" s="163">
        <f t="shared" si="2"/>
        <v>0</v>
      </c>
      <c r="M26" s="242">
        <f>33.7+33.85+13.95+13.57</f>
        <v>95.07000000000002</v>
      </c>
      <c r="N26" s="235">
        <f t="shared" si="1"/>
        <v>4.649520000000024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120">
        <f t="shared" si="0"/>
        <v>22</v>
      </c>
      <c r="C27" s="58" t="s">
        <v>103</v>
      </c>
      <c r="D27" s="47" t="s">
        <v>101</v>
      </c>
      <c r="E27" s="52">
        <v>17</v>
      </c>
      <c r="F27" s="124">
        <v>30266.3</v>
      </c>
      <c r="G27" s="165">
        <v>6.22</v>
      </c>
      <c r="H27" s="78">
        <f>1561+574</f>
        <v>2135</v>
      </c>
      <c r="I27" s="207"/>
      <c r="J27" s="163">
        <f t="shared" si="3"/>
        <v>128.3562</v>
      </c>
      <c r="K27" s="163"/>
      <c r="L27" s="163">
        <f t="shared" si="2"/>
        <v>0</v>
      </c>
      <c r="M27" s="242">
        <f>22.21+57.27+27.28+9.4+23.74+11.31</f>
        <v>151.21</v>
      </c>
      <c r="N27" s="235">
        <f t="shared" si="1"/>
        <v>22.853800000000007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6" ht="12.75" customHeight="1">
      <c r="B28" s="120">
        <f t="shared" si="0"/>
        <v>23</v>
      </c>
      <c r="C28" s="58" t="s">
        <v>65</v>
      </c>
      <c r="D28" s="47" t="s">
        <v>113</v>
      </c>
      <c r="E28" s="52">
        <v>19</v>
      </c>
      <c r="F28" s="124">
        <v>24146</v>
      </c>
      <c r="G28" s="160">
        <v>6.24</v>
      </c>
      <c r="H28" s="168">
        <f>1116+517</f>
        <v>1633</v>
      </c>
      <c r="I28" s="206"/>
      <c r="J28" s="163">
        <f t="shared" si="3"/>
        <v>98.17595999999999</v>
      </c>
      <c r="K28" s="163"/>
      <c r="L28" s="163">
        <f t="shared" si="2"/>
        <v>0</v>
      </c>
      <c r="M28" s="242">
        <f>36.98+36.51+15.36+16.15</f>
        <v>105</v>
      </c>
      <c r="N28" s="235">
        <f t="shared" si="1"/>
        <v>6.824040000000011</v>
      </c>
      <c r="O28" s="75"/>
      <c r="P28" s="3"/>
    </row>
    <row r="29" spans="2:28" ht="12.75" customHeight="1">
      <c r="B29" s="120">
        <f t="shared" si="0"/>
        <v>24</v>
      </c>
      <c r="C29" s="58" t="s">
        <v>63</v>
      </c>
      <c r="D29" s="48" t="s">
        <v>101</v>
      </c>
      <c r="E29" s="52">
        <v>29</v>
      </c>
      <c r="F29" s="124">
        <v>20258.6</v>
      </c>
      <c r="G29" s="160">
        <v>6.4</v>
      </c>
      <c r="H29" s="168">
        <f>622+516+193+274</f>
        <v>1605</v>
      </c>
      <c r="I29" s="185">
        <f aca="true" t="shared" si="4" ref="I29:I44">H29*77.7/1000</f>
        <v>124.7085</v>
      </c>
      <c r="J29" s="113"/>
      <c r="K29" s="160">
        <v>72</v>
      </c>
      <c r="L29" s="163">
        <f t="shared" si="2"/>
        <v>4.328639999999999</v>
      </c>
      <c r="M29" s="240">
        <f>56.18+44.29+17.65+21.66</f>
        <v>139.78</v>
      </c>
      <c r="N29" s="235">
        <f t="shared" si="1"/>
        <v>10.74286</v>
      </c>
      <c r="O29" s="75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120">
        <f t="shared" si="0"/>
        <v>25</v>
      </c>
      <c r="C30" s="58" t="s">
        <v>55</v>
      </c>
      <c r="D30" s="47" t="s">
        <v>101</v>
      </c>
      <c r="E30" s="52">
        <v>31</v>
      </c>
      <c r="F30" s="124">
        <v>6735.1</v>
      </c>
      <c r="G30" s="160">
        <v>6.61</v>
      </c>
      <c r="H30" s="168">
        <f>383+157</f>
        <v>540</v>
      </c>
      <c r="I30" s="185">
        <f t="shared" si="4"/>
        <v>41.958</v>
      </c>
      <c r="J30" s="160"/>
      <c r="K30" s="160"/>
      <c r="L30" s="163">
        <f t="shared" si="2"/>
        <v>0</v>
      </c>
      <c r="M30" s="240">
        <f>31.45+13.25</f>
        <v>44.7</v>
      </c>
      <c r="N30" s="235">
        <f t="shared" si="1"/>
        <v>2.7420000000000044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120">
        <f t="shared" si="0"/>
        <v>26</v>
      </c>
      <c r="C31" s="58" t="s">
        <v>84</v>
      </c>
      <c r="D31" s="47" t="s">
        <v>85</v>
      </c>
      <c r="E31" s="52">
        <v>27</v>
      </c>
      <c r="F31" s="124">
        <v>13989.3</v>
      </c>
      <c r="G31" s="160">
        <v>5.99</v>
      </c>
      <c r="H31" s="168">
        <f>518+534+209+207</f>
        <v>1468</v>
      </c>
      <c r="I31" s="185">
        <f t="shared" si="4"/>
        <v>114.06360000000001</v>
      </c>
      <c r="J31" s="160"/>
      <c r="K31" s="160"/>
      <c r="L31" s="163">
        <f t="shared" si="2"/>
        <v>0</v>
      </c>
      <c r="M31" s="240">
        <f>32.74+37.73+17.97+15.3</f>
        <v>103.74</v>
      </c>
      <c r="N31" s="235">
        <f t="shared" si="1"/>
        <v>-10.323600000000013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120">
        <f t="shared" si="0"/>
        <v>27</v>
      </c>
      <c r="C32" s="58" t="s">
        <v>2</v>
      </c>
      <c r="D32" s="47" t="s">
        <v>85</v>
      </c>
      <c r="E32" s="52">
        <v>29</v>
      </c>
      <c r="F32" s="124">
        <v>13695.4</v>
      </c>
      <c r="G32" s="160">
        <v>6.08</v>
      </c>
      <c r="H32" s="168">
        <f>807+333</f>
        <v>1140</v>
      </c>
      <c r="I32" s="185">
        <f t="shared" si="4"/>
        <v>88.578</v>
      </c>
      <c r="J32" s="113"/>
      <c r="K32" s="160">
        <v>57</v>
      </c>
      <c r="L32" s="163">
        <f t="shared" si="2"/>
        <v>3.42684</v>
      </c>
      <c r="M32" s="240">
        <f>69.33+30.37</f>
        <v>99.7</v>
      </c>
      <c r="N32" s="235">
        <f t="shared" si="1"/>
        <v>7.69516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120">
        <f t="shared" si="0"/>
        <v>28</v>
      </c>
      <c r="C33" s="58" t="s">
        <v>3</v>
      </c>
      <c r="D33" s="47" t="s">
        <v>85</v>
      </c>
      <c r="E33" s="52">
        <v>31</v>
      </c>
      <c r="F33" s="124">
        <v>6360.3</v>
      </c>
      <c r="G33" s="160">
        <v>7.81</v>
      </c>
      <c r="H33" s="168">
        <f>458+66</f>
        <v>524</v>
      </c>
      <c r="I33" s="185">
        <f t="shared" si="4"/>
        <v>40.714800000000004</v>
      </c>
      <c r="J33" s="113"/>
      <c r="K33" s="160">
        <v>9</v>
      </c>
      <c r="L33" s="163">
        <f t="shared" si="2"/>
        <v>0.5410799999999999</v>
      </c>
      <c r="M33" s="240">
        <f>44.78+6.78</f>
        <v>51.56</v>
      </c>
      <c r="N33" s="235">
        <f t="shared" si="1"/>
        <v>10.30412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120">
        <f t="shared" si="0"/>
        <v>29</v>
      </c>
      <c r="C34" s="58" t="s">
        <v>4</v>
      </c>
      <c r="D34" s="47" t="s">
        <v>113</v>
      </c>
      <c r="E34" s="52" t="s">
        <v>114</v>
      </c>
      <c r="F34" s="124">
        <v>12946.5</v>
      </c>
      <c r="G34" s="160">
        <v>6.69</v>
      </c>
      <c r="H34" s="168">
        <f>635+256</f>
        <v>891</v>
      </c>
      <c r="I34" s="185">
        <f t="shared" si="4"/>
        <v>69.2307</v>
      </c>
      <c r="J34" s="113"/>
      <c r="K34" s="160">
        <v>20</v>
      </c>
      <c r="L34" s="163">
        <f t="shared" si="2"/>
        <v>1.2024</v>
      </c>
      <c r="M34" s="240">
        <f>58.41+23.34</f>
        <v>81.75</v>
      </c>
      <c r="N34" s="235">
        <f t="shared" si="1"/>
        <v>11.3169</v>
      </c>
      <c r="O34" s="75"/>
      <c r="P34" s="3"/>
    </row>
    <row r="35" spans="2:16" ht="12.75" customHeight="1">
      <c r="B35" s="120">
        <f t="shared" si="0"/>
        <v>30</v>
      </c>
      <c r="C35" s="58" t="s">
        <v>5</v>
      </c>
      <c r="D35" s="47" t="s">
        <v>113</v>
      </c>
      <c r="E35" s="52">
        <v>35</v>
      </c>
      <c r="F35" s="124">
        <v>12207.7</v>
      </c>
      <c r="G35" s="160">
        <v>6.72</v>
      </c>
      <c r="H35" s="168">
        <f>688+256</f>
        <v>944</v>
      </c>
      <c r="I35" s="185">
        <f t="shared" si="4"/>
        <v>73.3488</v>
      </c>
      <c r="J35" s="113"/>
      <c r="K35" s="160"/>
      <c r="L35" s="163">
        <f t="shared" si="2"/>
        <v>0</v>
      </c>
      <c r="M35" s="240">
        <f>50.13+22.77</f>
        <v>72.9</v>
      </c>
      <c r="N35" s="235">
        <f t="shared" si="1"/>
        <v>-0.44879999999999143</v>
      </c>
      <c r="O35" s="75"/>
      <c r="P35" s="3"/>
    </row>
    <row r="36" spans="2:16" ht="12.75" customHeight="1">
      <c r="B36" s="120">
        <f t="shared" si="0"/>
        <v>31</v>
      </c>
      <c r="C36" s="58" t="s">
        <v>6</v>
      </c>
      <c r="D36" s="47" t="s">
        <v>113</v>
      </c>
      <c r="E36" s="52">
        <v>39</v>
      </c>
      <c r="F36" s="124">
        <v>4902.2</v>
      </c>
      <c r="G36" s="160">
        <v>6.14</v>
      </c>
      <c r="H36" s="168">
        <f>312+126</f>
        <v>438</v>
      </c>
      <c r="I36" s="185">
        <f t="shared" si="4"/>
        <v>34.032599999999995</v>
      </c>
      <c r="J36" s="113"/>
      <c r="K36" s="160"/>
      <c r="L36" s="163">
        <f t="shared" si="2"/>
        <v>0</v>
      </c>
      <c r="M36" s="240">
        <f>24.43+9.78</f>
        <v>34.21</v>
      </c>
      <c r="N36" s="235">
        <f t="shared" si="1"/>
        <v>0.17740000000000578</v>
      </c>
      <c r="O36" s="75"/>
      <c r="P36" s="3"/>
    </row>
    <row r="37" spans="2:28" ht="12.75" customHeight="1">
      <c r="B37" s="120">
        <f t="shared" si="0"/>
        <v>32</v>
      </c>
      <c r="C37" s="58" t="s">
        <v>64</v>
      </c>
      <c r="D37" s="47" t="s">
        <v>101</v>
      </c>
      <c r="E37" s="52">
        <v>33</v>
      </c>
      <c r="F37" s="124">
        <v>19674.8</v>
      </c>
      <c r="G37" s="160">
        <v>6.53</v>
      </c>
      <c r="H37" s="168">
        <f>616+462+237+202</f>
        <v>1517</v>
      </c>
      <c r="I37" s="185">
        <f t="shared" si="4"/>
        <v>117.8709</v>
      </c>
      <c r="J37" s="160"/>
      <c r="K37" s="160">
        <v>3</v>
      </c>
      <c r="L37" s="163">
        <f t="shared" si="2"/>
        <v>0.18036</v>
      </c>
      <c r="M37" s="240">
        <f>53.83+40.07+21.85+18.71</f>
        <v>134.46</v>
      </c>
      <c r="N37" s="235">
        <f t="shared" si="1"/>
        <v>16.40874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120">
        <f t="shared" si="0"/>
        <v>33</v>
      </c>
      <c r="C38" s="58" t="s">
        <v>7</v>
      </c>
      <c r="D38" s="47" t="s">
        <v>101</v>
      </c>
      <c r="E38" s="52">
        <v>35</v>
      </c>
      <c r="F38" s="124">
        <v>10939</v>
      </c>
      <c r="G38" s="160">
        <v>7.28</v>
      </c>
      <c r="H38" s="168">
        <f>694+304</f>
        <v>998</v>
      </c>
      <c r="I38" s="185">
        <f t="shared" si="4"/>
        <v>77.5446</v>
      </c>
      <c r="J38" s="113"/>
      <c r="K38" s="160">
        <v>5</v>
      </c>
      <c r="L38" s="163">
        <f t="shared" si="2"/>
        <v>0.3006</v>
      </c>
      <c r="M38" s="240">
        <f>64.24+31.57</f>
        <v>95.81</v>
      </c>
      <c r="N38" s="235">
        <f t="shared" si="1"/>
        <v>17.9648</v>
      </c>
      <c r="O38" s="75"/>
      <c r="P38" s="3"/>
    </row>
    <row r="39" spans="2:28" ht="12.75" customHeight="1">
      <c r="B39" s="120">
        <f aca="true" t="shared" si="5" ref="B39:B64">B38+1</f>
        <v>34</v>
      </c>
      <c r="C39" s="58" t="s">
        <v>8</v>
      </c>
      <c r="D39" s="47" t="s">
        <v>85</v>
      </c>
      <c r="E39" s="52">
        <v>33</v>
      </c>
      <c r="F39" s="124">
        <v>6730.4</v>
      </c>
      <c r="G39" s="160">
        <v>8.01</v>
      </c>
      <c r="H39" s="168">
        <f>433+168</f>
        <v>601</v>
      </c>
      <c r="I39" s="185">
        <f t="shared" si="4"/>
        <v>46.697700000000005</v>
      </c>
      <c r="J39" s="113"/>
      <c r="K39" s="160"/>
      <c r="L39" s="163">
        <f t="shared" si="2"/>
        <v>0</v>
      </c>
      <c r="M39" s="240">
        <f>45.03+17.24</f>
        <v>62.269999999999996</v>
      </c>
      <c r="N39" s="235">
        <f t="shared" si="1"/>
        <v>15.572299999999991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120">
        <f t="shared" si="5"/>
        <v>35</v>
      </c>
      <c r="C40" s="58" t="s">
        <v>9</v>
      </c>
      <c r="D40" s="48" t="s">
        <v>101</v>
      </c>
      <c r="E40" s="52">
        <v>45</v>
      </c>
      <c r="F40" s="124">
        <v>6586.2</v>
      </c>
      <c r="G40" s="164">
        <v>5.66</v>
      </c>
      <c r="H40" s="211">
        <f>322+141</f>
        <v>463</v>
      </c>
      <c r="I40" s="185">
        <f t="shared" si="4"/>
        <v>35.9751</v>
      </c>
      <c r="J40" s="83"/>
      <c r="K40" s="164">
        <v>4</v>
      </c>
      <c r="L40" s="163">
        <f t="shared" si="2"/>
        <v>0.24048</v>
      </c>
      <c r="M40" s="240">
        <f>23.77+12.32</f>
        <v>36.09</v>
      </c>
      <c r="N40" s="235">
        <f t="shared" si="1"/>
        <v>-0.12557999999999422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120">
        <f t="shared" si="5"/>
        <v>36</v>
      </c>
      <c r="C41" s="58" t="s">
        <v>10</v>
      </c>
      <c r="D41" s="47" t="s">
        <v>113</v>
      </c>
      <c r="E41" s="52" t="s">
        <v>115</v>
      </c>
      <c r="F41" s="124">
        <v>2378.8</v>
      </c>
      <c r="G41" s="160">
        <v>9.34</v>
      </c>
      <c r="H41" s="168">
        <f>117+52</f>
        <v>169</v>
      </c>
      <c r="I41" s="185">
        <f t="shared" si="4"/>
        <v>13.131300000000001</v>
      </c>
      <c r="J41" s="113"/>
      <c r="K41" s="160">
        <v>3</v>
      </c>
      <c r="L41" s="163">
        <f t="shared" si="2"/>
        <v>0.18036</v>
      </c>
      <c r="M41" s="240">
        <f>12.78+5.58</f>
        <v>18.36</v>
      </c>
      <c r="N41" s="235">
        <f t="shared" si="1"/>
        <v>5.048339999999998</v>
      </c>
      <c r="O41" s="75"/>
      <c r="P41" s="3"/>
    </row>
    <row r="42" spans="2:28" ht="12.75" customHeight="1">
      <c r="B42" s="120">
        <f t="shared" si="5"/>
        <v>37</v>
      </c>
      <c r="C42" s="58" t="s">
        <v>100</v>
      </c>
      <c r="D42" s="47" t="s">
        <v>98</v>
      </c>
      <c r="E42" s="52">
        <v>138</v>
      </c>
      <c r="F42" s="124">
        <v>7175.7</v>
      </c>
      <c r="G42" s="160">
        <v>8.97</v>
      </c>
      <c r="H42" s="168">
        <f>368+69</f>
        <v>437</v>
      </c>
      <c r="I42" s="185">
        <f t="shared" si="4"/>
        <v>33.9549</v>
      </c>
      <c r="J42" s="113"/>
      <c r="K42" s="160">
        <v>18</v>
      </c>
      <c r="L42" s="163">
        <f t="shared" si="2"/>
        <v>1.0821599999999998</v>
      </c>
      <c r="M42" s="240">
        <f>32+4.8</f>
        <v>36.8</v>
      </c>
      <c r="N42" s="235">
        <f t="shared" si="1"/>
        <v>1.7629399999999953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120">
        <f t="shared" si="5"/>
        <v>38</v>
      </c>
      <c r="C43" s="196" t="s">
        <v>58</v>
      </c>
      <c r="D43" s="49" t="s">
        <v>98</v>
      </c>
      <c r="E43" s="53" t="s">
        <v>99</v>
      </c>
      <c r="F43" s="131">
        <v>4256.7</v>
      </c>
      <c r="G43" s="160">
        <v>7.6</v>
      </c>
      <c r="H43" s="168">
        <f>210+50</f>
        <v>260</v>
      </c>
      <c r="I43" s="185">
        <f t="shared" si="4"/>
        <v>20.202</v>
      </c>
      <c r="J43" s="160"/>
      <c r="K43" s="160"/>
      <c r="L43" s="163">
        <f t="shared" si="2"/>
        <v>0</v>
      </c>
      <c r="M43" s="280">
        <f>21.05+3.98</f>
        <v>25.03</v>
      </c>
      <c r="N43" s="235">
        <f t="shared" si="1"/>
        <v>4.827999999999999</v>
      </c>
      <c r="O43" s="75"/>
      <c r="P43" s="3"/>
      <c r="Q43" s="252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120">
        <f t="shared" si="5"/>
        <v>39</v>
      </c>
      <c r="C44" s="58" t="s">
        <v>12</v>
      </c>
      <c r="D44" s="47" t="s">
        <v>75</v>
      </c>
      <c r="E44" s="52">
        <v>59</v>
      </c>
      <c r="F44" s="124">
        <v>5797</v>
      </c>
      <c r="G44" s="160">
        <v>8.37</v>
      </c>
      <c r="H44" s="168">
        <f>488+157</f>
        <v>645</v>
      </c>
      <c r="I44" s="185">
        <f t="shared" si="4"/>
        <v>50.1165</v>
      </c>
      <c r="J44" s="161"/>
      <c r="K44" s="160"/>
      <c r="L44" s="163">
        <f t="shared" si="2"/>
        <v>0</v>
      </c>
      <c r="M44" s="200">
        <f>33.76+10.99</f>
        <v>44.75</v>
      </c>
      <c r="N44" s="235">
        <f t="shared" si="1"/>
        <v>-5.366500000000002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120">
        <f t="shared" si="5"/>
        <v>40</v>
      </c>
      <c r="C45" s="58" t="s">
        <v>134</v>
      </c>
      <c r="D45" s="47" t="s">
        <v>75</v>
      </c>
      <c r="E45" s="52" t="s">
        <v>115</v>
      </c>
      <c r="F45" s="124">
        <v>5325.4</v>
      </c>
      <c r="G45" s="160">
        <v>7.6</v>
      </c>
      <c r="H45" s="168">
        <f>82+46</f>
        <v>128</v>
      </c>
      <c r="I45" s="206"/>
      <c r="J45" s="163">
        <f>H45*60.12/1000</f>
        <v>7.69536</v>
      </c>
      <c r="K45" s="163"/>
      <c r="L45" s="163">
        <f t="shared" si="2"/>
        <v>0</v>
      </c>
      <c r="M45" s="200">
        <f>18.49+10.63</f>
        <v>29.119999999999997</v>
      </c>
      <c r="N45" s="235">
        <f t="shared" si="1"/>
        <v>21.424639999999997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120">
        <f t="shared" si="5"/>
        <v>41</v>
      </c>
      <c r="C46" s="58" t="s">
        <v>13</v>
      </c>
      <c r="D46" s="47" t="s">
        <v>76</v>
      </c>
      <c r="E46" s="52">
        <v>5</v>
      </c>
      <c r="F46" s="124">
        <v>11675.3</v>
      </c>
      <c r="G46" s="160">
        <v>6.54</v>
      </c>
      <c r="H46" s="168">
        <f>754+215</f>
        <v>969</v>
      </c>
      <c r="I46" s="185">
        <f aca="true" t="shared" si="6" ref="I46:I52">H46*77.7/1000</f>
        <v>75.2913</v>
      </c>
      <c r="J46" s="113"/>
      <c r="K46" s="160"/>
      <c r="L46" s="163">
        <f t="shared" si="2"/>
        <v>0</v>
      </c>
      <c r="M46" s="200">
        <f>64.03+11.16</f>
        <v>75.19</v>
      </c>
      <c r="N46" s="235">
        <f t="shared" si="1"/>
        <v>-0.10130000000000905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120">
        <f t="shared" si="5"/>
        <v>42</v>
      </c>
      <c r="C47" s="58" t="s">
        <v>14</v>
      </c>
      <c r="D47" s="47" t="s">
        <v>76</v>
      </c>
      <c r="E47" s="52" t="s">
        <v>77</v>
      </c>
      <c r="F47" s="124">
        <v>3803.7</v>
      </c>
      <c r="G47" s="160">
        <v>8.22</v>
      </c>
      <c r="H47" s="168">
        <f>266+26</f>
        <v>292</v>
      </c>
      <c r="I47" s="185">
        <f t="shared" si="6"/>
        <v>22.6884</v>
      </c>
      <c r="J47" s="113"/>
      <c r="K47" s="160">
        <v>24</v>
      </c>
      <c r="L47" s="163">
        <f t="shared" si="2"/>
        <v>1.44288</v>
      </c>
      <c r="M47" s="200">
        <f>33.62+1.97</f>
        <v>35.589999999999996</v>
      </c>
      <c r="N47" s="235">
        <f t="shared" si="1"/>
        <v>11.458719999999994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120">
        <f t="shared" si="5"/>
        <v>43</v>
      </c>
      <c r="C48" s="58" t="s">
        <v>15</v>
      </c>
      <c r="D48" s="47" t="s">
        <v>86</v>
      </c>
      <c r="E48" s="52" t="s">
        <v>87</v>
      </c>
      <c r="F48" s="124">
        <v>13733.1</v>
      </c>
      <c r="G48" s="160">
        <v>7.14</v>
      </c>
      <c r="H48" s="168">
        <f>1177+338</f>
        <v>1515</v>
      </c>
      <c r="I48" s="185">
        <f t="shared" si="6"/>
        <v>117.7155</v>
      </c>
      <c r="J48" s="160"/>
      <c r="K48" s="160"/>
      <c r="L48" s="163">
        <f t="shared" si="2"/>
        <v>0</v>
      </c>
      <c r="M48" s="200">
        <f>88.19+24.58</f>
        <v>112.77</v>
      </c>
      <c r="N48" s="235">
        <f t="shared" si="1"/>
        <v>-4.94550000000001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120">
        <f t="shared" si="5"/>
        <v>44</v>
      </c>
      <c r="C49" s="58" t="s">
        <v>90</v>
      </c>
      <c r="D49" s="47" t="s">
        <v>86</v>
      </c>
      <c r="E49" s="52" t="s">
        <v>91</v>
      </c>
      <c r="F49" s="124">
        <v>8981.6</v>
      </c>
      <c r="G49" s="160">
        <v>7.06</v>
      </c>
      <c r="H49" s="168">
        <f>724+227</f>
        <v>951</v>
      </c>
      <c r="I49" s="185">
        <f t="shared" si="6"/>
        <v>73.89269999999999</v>
      </c>
      <c r="J49" s="160"/>
      <c r="K49" s="160"/>
      <c r="L49" s="163">
        <f t="shared" si="2"/>
        <v>0</v>
      </c>
      <c r="M49" s="200">
        <f>49.7+19.31</f>
        <v>69.01</v>
      </c>
      <c r="N49" s="235">
        <f t="shared" si="1"/>
        <v>-4.882699999999986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120">
        <f t="shared" si="5"/>
        <v>45</v>
      </c>
      <c r="C50" s="58" t="s">
        <v>88</v>
      </c>
      <c r="D50" s="47" t="s">
        <v>86</v>
      </c>
      <c r="E50" s="52" t="s">
        <v>89</v>
      </c>
      <c r="F50" s="124">
        <v>4789.4</v>
      </c>
      <c r="G50" s="160">
        <v>7.02</v>
      </c>
      <c r="H50" s="168">
        <f>363+123</f>
        <v>486</v>
      </c>
      <c r="I50" s="185">
        <f t="shared" si="6"/>
        <v>37.76220000000001</v>
      </c>
      <c r="J50" s="113"/>
      <c r="K50" s="160"/>
      <c r="L50" s="163">
        <f t="shared" si="2"/>
        <v>0</v>
      </c>
      <c r="M50" s="200">
        <f>36.88+10.33</f>
        <v>47.21</v>
      </c>
      <c r="N50" s="235">
        <f t="shared" si="1"/>
        <v>9.447799999999994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120">
        <f t="shared" si="5"/>
        <v>46</v>
      </c>
      <c r="C51" s="196" t="s">
        <v>92</v>
      </c>
      <c r="D51" s="47" t="s">
        <v>86</v>
      </c>
      <c r="E51" s="52" t="s">
        <v>93</v>
      </c>
      <c r="F51" s="124">
        <v>5273.8</v>
      </c>
      <c r="G51" s="160">
        <v>6.27</v>
      </c>
      <c r="H51" s="168">
        <f>538+192</f>
        <v>730</v>
      </c>
      <c r="I51" s="185">
        <f t="shared" si="6"/>
        <v>56.721</v>
      </c>
      <c r="J51" s="113"/>
      <c r="K51" s="160"/>
      <c r="L51" s="163">
        <f t="shared" si="2"/>
        <v>0</v>
      </c>
      <c r="M51" s="200">
        <f>36.89+12.36</f>
        <v>49.25</v>
      </c>
      <c r="N51" s="235">
        <f t="shared" si="1"/>
        <v>-7.4709999999999965</v>
      </c>
      <c r="O51" s="75"/>
      <c r="P51" s="3"/>
      <c r="Q51" s="252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120">
        <f t="shared" si="5"/>
        <v>47</v>
      </c>
      <c r="C52" s="196" t="s">
        <v>19</v>
      </c>
      <c r="D52" s="47" t="s">
        <v>83</v>
      </c>
      <c r="E52" s="52">
        <v>108</v>
      </c>
      <c r="F52" s="124">
        <v>11125.8</v>
      </c>
      <c r="G52" s="160">
        <v>6.52</v>
      </c>
      <c r="H52" s="168">
        <f>935+338</f>
        <v>1273</v>
      </c>
      <c r="I52" s="185">
        <f t="shared" si="6"/>
        <v>98.91210000000001</v>
      </c>
      <c r="J52" s="113"/>
      <c r="K52" s="160">
        <v>4</v>
      </c>
      <c r="L52" s="163">
        <f t="shared" si="2"/>
        <v>0.24048</v>
      </c>
      <c r="M52" s="240">
        <f>60.91+20.34</f>
        <v>81.25</v>
      </c>
      <c r="N52" s="235">
        <f t="shared" si="1"/>
        <v>-17.90258000000001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120">
        <f t="shared" si="5"/>
        <v>48</v>
      </c>
      <c r="C53" s="58" t="s">
        <v>70</v>
      </c>
      <c r="D53" s="47" t="s">
        <v>83</v>
      </c>
      <c r="E53" s="52">
        <v>120</v>
      </c>
      <c r="F53" s="124">
        <v>6713.5</v>
      </c>
      <c r="G53" s="160">
        <v>7.59</v>
      </c>
      <c r="H53" s="168">
        <f>269+23</f>
        <v>292</v>
      </c>
      <c r="I53" s="206"/>
      <c r="J53" s="163">
        <f>H53*60.12/1000</f>
        <v>17.55504</v>
      </c>
      <c r="K53" s="163"/>
      <c r="L53" s="163">
        <f t="shared" si="2"/>
        <v>0</v>
      </c>
      <c r="M53" s="240">
        <f>28.56+10.19</f>
        <v>38.75</v>
      </c>
      <c r="N53" s="235">
        <f t="shared" si="1"/>
        <v>21.19496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120">
        <f t="shared" si="5"/>
        <v>49</v>
      </c>
      <c r="C54" s="58" t="s">
        <v>135</v>
      </c>
      <c r="D54" s="47" t="s">
        <v>83</v>
      </c>
      <c r="E54" s="52">
        <v>124</v>
      </c>
      <c r="F54" s="124">
        <v>6718.7</v>
      </c>
      <c r="G54" s="160">
        <v>6.11</v>
      </c>
      <c r="H54" s="168">
        <f>341+129</f>
        <v>470</v>
      </c>
      <c r="I54" s="206"/>
      <c r="J54" s="163">
        <f>H54*60.12/1000</f>
        <v>28.2564</v>
      </c>
      <c r="K54" s="163"/>
      <c r="L54" s="163">
        <f t="shared" si="2"/>
        <v>0</v>
      </c>
      <c r="M54" s="240">
        <f>25.21+9.06</f>
        <v>34.27</v>
      </c>
      <c r="N54" s="235">
        <f t="shared" si="1"/>
        <v>6.013600000000004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120">
        <f t="shared" si="5"/>
        <v>50</v>
      </c>
      <c r="C55" s="58" t="s">
        <v>136</v>
      </c>
      <c r="D55" s="47" t="s">
        <v>83</v>
      </c>
      <c r="E55" s="52">
        <v>128</v>
      </c>
      <c r="F55" s="124">
        <v>6706.5</v>
      </c>
      <c r="G55" s="160">
        <v>6.11</v>
      </c>
      <c r="H55" s="168">
        <f>335+122</f>
        <v>457</v>
      </c>
      <c r="I55" s="206"/>
      <c r="J55" s="163">
        <f>H55*60.12/1000</f>
        <v>27.47484</v>
      </c>
      <c r="K55" s="163"/>
      <c r="L55" s="163">
        <f t="shared" si="2"/>
        <v>0</v>
      </c>
      <c r="M55" s="240">
        <f>25.72+9.31</f>
        <v>35.03</v>
      </c>
      <c r="N55" s="235">
        <f t="shared" si="1"/>
        <v>7.555160000000001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28" ht="12.75" customHeight="1">
      <c r="B56" s="120">
        <f t="shared" si="5"/>
        <v>51</v>
      </c>
      <c r="C56" s="58" t="s">
        <v>20</v>
      </c>
      <c r="D56" s="47" t="s">
        <v>83</v>
      </c>
      <c r="E56" s="52">
        <v>110</v>
      </c>
      <c r="F56" s="124">
        <v>11638.3</v>
      </c>
      <c r="G56" s="160">
        <v>6.85</v>
      </c>
      <c r="H56" s="168">
        <f>711+252</f>
        <v>963</v>
      </c>
      <c r="I56" s="185">
        <f aca="true" t="shared" si="7" ref="I56:I62">H56*77.7/1000</f>
        <v>74.8251</v>
      </c>
      <c r="J56" s="113"/>
      <c r="K56" s="160"/>
      <c r="L56" s="163">
        <f t="shared" si="2"/>
        <v>0</v>
      </c>
      <c r="M56" s="240">
        <f>46.52+17.11</f>
        <v>63.63</v>
      </c>
      <c r="N56" s="235">
        <f t="shared" si="1"/>
        <v>-11.195100000000004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3"/>
    </row>
    <row r="57" spans="2:28" ht="12.75" customHeight="1">
      <c r="B57" s="120">
        <f t="shared" si="5"/>
        <v>52</v>
      </c>
      <c r="C57" s="58" t="s">
        <v>21</v>
      </c>
      <c r="D57" s="47" t="s">
        <v>83</v>
      </c>
      <c r="E57" s="52">
        <v>114</v>
      </c>
      <c r="F57" s="124">
        <v>9185</v>
      </c>
      <c r="G57" s="160">
        <v>6.66</v>
      </c>
      <c r="H57" s="168">
        <f>708+246</f>
        <v>954</v>
      </c>
      <c r="I57" s="185">
        <f t="shared" si="7"/>
        <v>74.1258</v>
      </c>
      <c r="J57" s="113"/>
      <c r="K57" s="160"/>
      <c r="L57" s="163">
        <f t="shared" si="2"/>
        <v>0</v>
      </c>
      <c r="M57" s="240">
        <f>47+18.22</f>
        <v>65.22</v>
      </c>
      <c r="N57" s="235">
        <f t="shared" si="1"/>
        <v>-8.9058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120">
        <f t="shared" si="5"/>
        <v>53</v>
      </c>
      <c r="C58" s="58" t="s">
        <v>22</v>
      </c>
      <c r="D58" s="47" t="s">
        <v>83</v>
      </c>
      <c r="E58" s="52">
        <v>118</v>
      </c>
      <c r="F58" s="124">
        <v>9190.4</v>
      </c>
      <c r="G58" s="160">
        <v>6.69</v>
      </c>
      <c r="H58" s="168">
        <f>674+226</f>
        <v>900</v>
      </c>
      <c r="I58" s="185">
        <f t="shared" si="7"/>
        <v>69.93</v>
      </c>
      <c r="J58" s="113"/>
      <c r="K58" s="160"/>
      <c r="L58" s="163">
        <f t="shared" si="2"/>
        <v>0</v>
      </c>
      <c r="M58" s="240">
        <f>41.52+19.44</f>
        <v>60.96000000000001</v>
      </c>
      <c r="N58" s="235">
        <f t="shared" si="1"/>
        <v>-8.969999999999999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</row>
    <row r="59" spans="2:28" ht="12.75" customHeight="1">
      <c r="B59" s="120">
        <f t="shared" si="5"/>
        <v>54</v>
      </c>
      <c r="C59" s="58" t="s">
        <v>23</v>
      </c>
      <c r="D59" s="47" t="s">
        <v>83</v>
      </c>
      <c r="E59" s="52">
        <v>122</v>
      </c>
      <c r="F59" s="124">
        <v>9187.9</v>
      </c>
      <c r="G59" s="160">
        <v>5.43</v>
      </c>
      <c r="H59" s="168">
        <f>712+257</f>
        <v>969</v>
      </c>
      <c r="I59" s="185">
        <f t="shared" si="7"/>
        <v>75.2913</v>
      </c>
      <c r="J59" s="113"/>
      <c r="K59" s="160"/>
      <c r="L59" s="163">
        <f t="shared" si="2"/>
        <v>0</v>
      </c>
      <c r="M59" s="240">
        <f>47.8+19.99</f>
        <v>67.78999999999999</v>
      </c>
      <c r="N59" s="235">
        <f t="shared" si="1"/>
        <v>-7.501300000000015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120">
        <f t="shared" si="5"/>
        <v>55</v>
      </c>
      <c r="C60" s="58" t="s">
        <v>24</v>
      </c>
      <c r="D60" s="47" t="s">
        <v>83</v>
      </c>
      <c r="E60" s="52">
        <v>126</v>
      </c>
      <c r="F60" s="124">
        <v>9187.1</v>
      </c>
      <c r="G60" s="160">
        <v>6</v>
      </c>
      <c r="H60" s="168">
        <f>864+304</f>
        <v>1168</v>
      </c>
      <c r="I60" s="185">
        <f t="shared" si="7"/>
        <v>90.7536</v>
      </c>
      <c r="J60" s="113"/>
      <c r="K60" s="160"/>
      <c r="L60" s="163">
        <f t="shared" si="2"/>
        <v>0</v>
      </c>
      <c r="M60" s="240">
        <f>47.8+17.22</f>
        <v>65.02</v>
      </c>
      <c r="N60" s="235">
        <f t="shared" si="1"/>
        <v>-25.73360000000001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0"/>
    </row>
    <row r="61" spans="2:28" ht="12.75" customHeight="1">
      <c r="B61" s="120">
        <f t="shared" si="5"/>
        <v>56</v>
      </c>
      <c r="C61" s="58" t="s">
        <v>81</v>
      </c>
      <c r="D61" s="47" t="s">
        <v>79</v>
      </c>
      <c r="E61" s="52" t="s">
        <v>82</v>
      </c>
      <c r="F61" s="124">
        <v>6886.8</v>
      </c>
      <c r="G61" s="160">
        <v>6.38</v>
      </c>
      <c r="H61" s="168">
        <f>341+142</f>
        <v>483</v>
      </c>
      <c r="I61" s="185">
        <f t="shared" si="7"/>
        <v>37.5291</v>
      </c>
      <c r="J61" s="113"/>
      <c r="K61" s="160">
        <v>12</v>
      </c>
      <c r="L61" s="163">
        <f t="shared" si="2"/>
        <v>0.72144</v>
      </c>
      <c r="M61" s="160">
        <f>41.69+13.21</f>
        <v>54.9</v>
      </c>
      <c r="N61" s="235">
        <f t="shared" si="1"/>
        <v>16.649459999999998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3"/>
    </row>
    <row r="62" spans="2:32" ht="14.25" customHeight="1" thickBot="1">
      <c r="B62" s="120">
        <f t="shared" si="5"/>
        <v>57</v>
      </c>
      <c r="C62" s="140" t="s">
        <v>78</v>
      </c>
      <c r="D62" s="141" t="s">
        <v>79</v>
      </c>
      <c r="E62" s="142" t="s">
        <v>80</v>
      </c>
      <c r="F62" s="129">
        <v>4261.1</v>
      </c>
      <c r="G62" s="173">
        <v>9.07</v>
      </c>
      <c r="H62" s="169">
        <f>240+82</f>
        <v>322</v>
      </c>
      <c r="I62" s="185">
        <f t="shared" si="7"/>
        <v>25.0194</v>
      </c>
      <c r="J62" s="172"/>
      <c r="K62" s="173"/>
      <c r="L62" s="163">
        <f t="shared" si="2"/>
        <v>0</v>
      </c>
      <c r="M62" s="251">
        <f>25.31+8.49</f>
        <v>33.8</v>
      </c>
      <c r="N62" s="235">
        <f t="shared" si="1"/>
        <v>8.780599999999996</v>
      </c>
      <c r="O62" s="76"/>
      <c r="P62" s="25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0"/>
      <c r="AF62" s="1"/>
    </row>
    <row r="63" spans="2:32" ht="14.25" customHeight="1">
      <c r="B63" s="120">
        <f t="shared" si="5"/>
        <v>58</v>
      </c>
      <c r="C63" s="140" t="s">
        <v>144</v>
      </c>
      <c r="D63" s="141" t="s">
        <v>101</v>
      </c>
      <c r="E63" s="142">
        <v>32</v>
      </c>
      <c r="F63" s="124">
        <v>28893.1</v>
      </c>
      <c r="G63" s="173">
        <v>7.6</v>
      </c>
      <c r="H63" s="169">
        <f>333+153</f>
        <v>486</v>
      </c>
      <c r="I63" s="208"/>
      <c r="J63" s="163">
        <f>H63*60.12/1000</f>
        <v>29.21832</v>
      </c>
      <c r="K63" s="228"/>
      <c r="L63" s="163">
        <f t="shared" si="2"/>
        <v>0</v>
      </c>
      <c r="M63" s="173">
        <f>35.09+31.6+13.65+9.58</f>
        <v>89.92</v>
      </c>
      <c r="N63" s="235">
        <f t="shared" si="1"/>
        <v>60.70168</v>
      </c>
      <c r="O63" s="14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 thickBot="1">
      <c r="B64" s="120">
        <f t="shared" si="5"/>
        <v>59</v>
      </c>
      <c r="C64" s="59" t="s">
        <v>145</v>
      </c>
      <c r="D64" s="50" t="s">
        <v>101</v>
      </c>
      <c r="E64" s="54">
        <v>36</v>
      </c>
      <c r="F64" s="129">
        <v>14015.8</v>
      </c>
      <c r="G64" s="174">
        <v>7.6</v>
      </c>
      <c r="H64" s="170">
        <f>164+67</f>
        <v>231</v>
      </c>
      <c r="I64" s="209"/>
      <c r="J64" s="163">
        <f>H64*60.12/1000</f>
        <v>13.88772</v>
      </c>
      <c r="K64" s="228"/>
      <c r="L64" s="163">
        <f t="shared" si="2"/>
        <v>0</v>
      </c>
      <c r="M64" s="244">
        <f>30.56+13.86</f>
        <v>44.42</v>
      </c>
      <c r="N64" s="235">
        <f t="shared" si="1"/>
        <v>30.53228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14" ht="13.5" thickBot="1">
      <c r="B65" s="85"/>
      <c r="C65" s="10"/>
      <c r="D65" s="10"/>
      <c r="E65" s="8"/>
      <c r="F65" s="156">
        <f>SUM(F6:F64)</f>
        <v>599454.5</v>
      </c>
      <c r="G65" s="79"/>
      <c r="H65" s="212"/>
      <c r="I65" s="245">
        <f>SUM(I6:I64)</f>
        <v>2216.7810000000004</v>
      </c>
      <c r="J65" s="245">
        <f>SUM(J6:J64)</f>
        <v>942.7417199999998</v>
      </c>
      <c r="K65" s="212"/>
      <c r="L65" s="245">
        <f>SUM(L6:L64)</f>
        <v>15.510959999999999</v>
      </c>
      <c r="M65" s="245">
        <f>SUM(M6:M64)</f>
        <v>3679.3800000000015</v>
      </c>
      <c r="N65" s="245">
        <f>SUM(N6:N64)</f>
        <v>504.3463199999998</v>
      </c>
    </row>
    <row r="66" ht="12.75">
      <c r="F66" s="6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66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T55" sqref="T55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159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155</v>
      </c>
      <c r="J5" s="182" t="s">
        <v>156</v>
      </c>
      <c r="K5" s="182" t="s">
        <v>163</v>
      </c>
      <c r="L5" s="183" t="s">
        <v>164</v>
      </c>
      <c r="M5" s="182" t="s">
        <v>158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119">
        <v>1</v>
      </c>
      <c r="C6" s="117" t="s">
        <v>131</v>
      </c>
      <c r="D6" s="47" t="s">
        <v>98</v>
      </c>
      <c r="E6" s="46" t="s">
        <v>138</v>
      </c>
      <c r="F6" s="122">
        <v>6457.6</v>
      </c>
      <c r="G6" s="216">
        <v>6.97</v>
      </c>
      <c r="H6" s="193">
        <v>542</v>
      </c>
      <c r="I6" s="185">
        <f>H6*77.7/1000</f>
        <v>42.1134</v>
      </c>
      <c r="J6" s="158"/>
      <c r="K6" s="158"/>
      <c r="L6" s="158"/>
      <c r="M6" s="235">
        <v>60.46</v>
      </c>
      <c r="N6" s="235">
        <f aca="true" t="shared" si="0" ref="N6:N37">M6-I6-J6</f>
        <v>18.346600000000002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120">
        <f aca="true" t="shared" si="1" ref="B7:B38">B6+1</f>
        <v>2</v>
      </c>
      <c r="C7" s="118" t="s">
        <v>132</v>
      </c>
      <c r="D7" s="47" t="s">
        <v>98</v>
      </c>
      <c r="E7" s="52">
        <v>79</v>
      </c>
      <c r="F7" s="124">
        <v>12688.5</v>
      </c>
      <c r="G7" s="163">
        <v>7.6</v>
      </c>
      <c r="H7" s="166">
        <v>915</v>
      </c>
      <c r="I7" s="185">
        <f>H7*77.7/1000</f>
        <v>71.0955</v>
      </c>
      <c r="J7" s="82"/>
      <c r="K7" s="82"/>
      <c r="L7" s="82"/>
      <c r="M7" s="236">
        <v>113.14</v>
      </c>
      <c r="N7" s="215">
        <f t="shared" si="0"/>
        <v>42.0445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120">
        <f t="shared" si="1"/>
        <v>3</v>
      </c>
      <c r="C8" s="118" t="s">
        <v>133</v>
      </c>
      <c r="D8" s="64" t="s">
        <v>94</v>
      </c>
      <c r="E8" s="52" t="s">
        <v>137</v>
      </c>
      <c r="F8" s="124">
        <v>11181.7</v>
      </c>
      <c r="G8" s="163">
        <v>7.6</v>
      </c>
      <c r="H8" s="166">
        <v>576</v>
      </c>
      <c r="I8" s="185"/>
      <c r="J8" s="163">
        <f>H8*60.12/1000</f>
        <v>34.62911999999999</v>
      </c>
      <c r="K8" s="163"/>
      <c r="L8" s="163"/>
      <c r="M8" s="236">
        <v>54.83</v>
      </c>
      <c r="N8" s="235">
        <f t="shared" si="0"/>
        <v>20.200880000000005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120">
        <f t="shared" si="1"/>
        <v>4</v>
      </c>
      <c r="C9" s="65" t="s">
        <v>71</v>
      </c>
      <c r="D9" s="64" t="s">
        <v>94</v>
      </c>
      <c r="E9" s="64" t="s">
        <v>95</v>
      </c>
      <c r="F9" s="155">
        <v>10509.4</v>
      </c>
      <c r="G9" s="159">
        <v>7.56</v>
      </c>
      <c r="H9" s="167">
        <v>253</v>
      </c>
      <c r="I9" s="205"/>
      <c r="J9" s="163">
        <f>H9*60.12/1000</f>
        <v>15.210359999999998</v>
      </c>
      <c r="K9" s="162"/>
      <c r="L9" s="162">
        <f>K9*60.12/1000</f>
        <v>0</v>
      </c>
      <c r="M9" s="237">
        <v>60.74</v>
      </c>
      <c r="N9" s="235">
        <f>M9-I9-J9-L9</f>
        <v>45.52964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120">
        <f t="shared" si="1"/>
        <v>5</v>
      </c>
      <c r="C10" s="57" t="s">
        <v>1</v>
      </c>
      <c r="D10" s="47" t="s">
        <v>96</v>
      </c>
      <c r="E10" s="47" t="s">
        <v>97</v>
      </c>
      <c r="F10" s="155">
        <v>9045.5</v>
      </c>
      <c r="G10" s="160">
        <v>6.41</v>
      </c>
      <c r="H10" s="167">
        <v>466</v>
      </c>
      <c r="I10" s="185">
        <f>H10*77.7/1000</f>
        <v>36.208200000000005</v>
      </c>
      <c r="J10" s="115"/>
      <c r="K10" s="115"/>
      <c r="L10" s="115"/>
      <c r="M10" s="238">
        <v>53.02</v>
      </c>
      <c r="N10" s="235">
        <f t="shared" si="0"/>
        <v>16.811799999999998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120">
        <f t="shared" si="1"/>
        <v>6</v>
      </c>
      <c r="C11" s="58" t="s">
        <v>107</v>
      </c>
      <c r="D11" s="47" t="s">
        <v>108</v>
      </c>
      <c r="E11" s="47">
        <v>45</v>
      </c>
      <c r="F11" s="129">
        <v>7179.6</v>
      </c>
      <c r="G11" s="164">
        <v>7.38</v>
      </c>
      <c r="H11" s="211">
        <v>201</v>
      </c>
      <c r="I11" s="185">
        <f>H11*77.7/1000</f>
        <v>15.617700000000001</v>
      </c>
      <c r="J11" s="83"/>
      <c r="K11" s="83"/>
      <c r="L11" s="83"/>
      <c r="M11" s="236">
        <v>41.92</v>
      </c>
      <c r="N11" s="235">
        <f t="shared" si="0"/>
        <v>26.302300000000002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120">
        <f t="shared" si="1"/>
        <v>7</v>
      </c>
      <c r="C12" s="58" t="s">
        <v>109</v>
      </c>
      <c r="D12" s="47" t="s">
        <v>108</v>
      </c>
      <c r="E12" s="47" t="s">
        <v>110</v>
      </c>
      <c r="F12" s="124">
        <v>7003.6</v>
      </c>
      <c r="G12" s="164">
        <v>7.05</v>
      </c>
      <c r="H12" s="211">
        <v>291</v>
      </c>
      <c r="I12" s="185">
        <f>H12*77.7/1000</f>
        <v>22.6107</v>
      </c>
      <c r="J12" s="83"/>
      <c r="K12" s="83"/>
      <c r="L12" s="83"/>
      <c r="M12" s="236">
        <v>45.05</v>
      </c>
      <c r="N12" s="235">
        <f t="shared" si="0"/>
        <v>22.439299999999996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120">
        <f t="shared" si="1"/>
        <v>8</v>
      </c>
      <c r="C13" s="58" t="s">
        <v>116</v>
      </c>
      <c r="D13" s="48" t="s">
        <v>117</v>
      </c>
      <c r="E13" s="47" t="s">
        <v>118</v>
      </c>
      <c r="F13" s="124">
        <v>6727.7</v>
      </c>
      <c r="G13" s="160">
        <v>5.81</v>
      </c>
      <c r="H13" s="168">
        <v>569</v>
      </c>
      <c r="I13" s="185">
        <f>H13*77.7/1000</f>
        <v>44.2113</v>
      </c>
      <c r="J13" s="113"/>
      <c r="K13" s="113"/>
      <c r="L13" s="113"/>
      <c r="M13" s="239">
        <v>48.02</v>
      </c>
      <c r="N13" s="235">
        <f t="shared" si="0"/>
        <v>3.8087000000000018</v>
      </c>
      <c r="O13" s="75"/>
      <c r="P13" s="3"/>
    </row>
    <row r="14" spans="2:16" ht="12.75" customHeight="1">
      <c r="B14" s="120">
        <f t="shared" si="1"/>
        <v>9</v>
      </c>
      <c r="C14" s="58" t="s">
        <v>128</v>
      </c>
      <c r="D14" s="48" t="s">
        <v>101</v>
      </c>
      <c r="E14" s="47">
        <v>40</v>
      </c>
      <c r="F14" s="124">
        <v>4726.8</v>
      </c>
      <c r="G14" s="160">
        <v>7.6</v>
      </c>
      <c r="H14" s="168">
        <v>175</v>
      </c>
      <c r="I14" s="206"/>
      <c r="J14" s="163">
        <f aca="true" t="shared" si="2" ref="J14:J28">H14*60.12/1000</f>
        <v>10.521</v>
      </c>
      <c r="K14" s="163"/>
      <c r="L14" s="163"/>
      <c r="M14" s="239">
        <v>33.07</v>
      </c>
      <c r="N14" s="235">
        <f t="shared" si="0"/>
        <v>22.549</v>
      </c>
      <c r="O14" s="75"/>
      <c r="P14" s="3"/>
    </row>
    <row r="15" spans="2:16" ht="12.75" customHeight="1">
      <c r="B15" s="120">
        <f t="shared" si="1"/>
        <v>10</v>
      </c>
      <c r="C15" s="58" t="s">
        <v>129</v>
      </c>
      <c r="D15" s="48" t="s">
        <v>101</v>
      </c>
      <c r="E15" s="47">
        <v>42</v>
      </c>
      <c r="F15" s="124">
        <v>4730.4</v>
      </c>
      <c r="G15" s="160">
        <v>7.6</v>
      </c>
      <c r="H15" s="168">
        <v>346</v>
      </c>
      <c r="I15" s="206"/>
      <c r="J15" s="163">
        <f t="shared" si="2"/>
        <v>20.80152</v>
      </c>
      <c r="K15" s="163"/>
      <c r="L15" s="163"/>
      <c r="M15" s="239">
        <v>32.2</v>
      </c>
      <c r="N15" s="235">
        <f t="shared" si="0"/>
        <v>11.398480000000003</v>
      </c>
      <c r="O15" s="75"/>
      <c r="P15" s="3"/>
    </row>
    <row r="16" spans="2:16" ht="12.75" customHeight="1">
      <c r="B16" s="120">
        <f t="shared" si="1"/>
        <v>11</v>
      </c>
      <c r="C16" s="58" t="s">
        <v>130</v>
      </c>
      <c r="D16" s="48" t="s">
        <v>101</v>
      </c>
      <c r="E16" s="47">
        <v>44</v>
      </c>
      <c r="F16" s="124">
        <v>4727.7</v>
      </c>
      <c r="G16" s="160">
        <v>7.6</v>
      </c>
      <c r="H16" s="168">
        <v>140</v>
      </c>
      <c r="I16" s="206"/>
      <c r="J16" s="163">
        <f t="shared" si="2"/>
        <v>8.416799999999999</v>
      </c>
      <c r="K16" s="163"/>
      <c r="L16" s="163"/>
      <c r="M16" s="239">
        <v>33.25</v>
      </c>
      <c r="N16" s="235">
        <f t="shared" si="0"/>
        <v>24.8332</v>
      </c>
      <c r="O16" s="75"/>
      <c r="P16" s="3"/>
    </row>
    <row r="17" spans="2:16" ht="12.75" customHeight="1">
      <c r="B17" s="120">
        <f t="shared" si="1"/>
        <v>12</v>
      </c>
      <c r="C17" s="58" t="s">
        <v>120</v>
      </c>
      <c r="D17" s="48" t="s">
        <v>111</v>
      </c>
      <c r="E17" s="47">
        <v>11</v>
      </c>
      <c r="F17" s="124">
        <v>10656</v>
      </c>
      <c r="G17" s="160">
        <v>7.6</v>
      </c>
      <c r="H17" s="168">
        <v>752</v>
      </c>
      <c r="I17" s="206"/>
      <c r="J17" s="163">
        <f t="shared" si="2"/>
        <v>45.21024</v>
      </c>
      <c r="K17" s="163"/>
      <c r="L17" s="163"/>
      <c r="M17" s="240">
        <v>66.09</v>
      </c>
      <c r="N17" s="235">
        <f t="shared" si="0"/>
        <v>20.879760000000005</v>
      </c>
      <c r="O17" s="75"/>
      <c r="P17" s="32"/>
    </row>
    <row r="18" spans="2:28" ht="12.75" customHeight="1">
      <c r="B18" s="120">
        <f t="shared" si="1"/>
        <v>13</v>
      </c>
      <c r="C18" s="58" t="s">
        <v>61</v>
      </c>
      <c r="D18" s="48" t="s">
        <v>101</v>
      </c>
      <c r="E18" s="47">
        <v>13</v>
      </c>
      <c r="F18" s="124">
        <v>3545.7</v>
      </c>
      <c r="G18" s="165">
        <v>7.74</v>
      </c>
      <c r="H18" s="78">
        <v>295</v>
      </c>
      <c r="I18" s="207"/>
      <c r="J18" s="163">
        <f t="shared" si="2"/>
        <v>17.7354</v>
      </c>
      <c r="K18" s="163"/>
      <c r="L18" s="163"/>
      <c r="M18" s="236">
        <v>24.35</v>
      </c>
      <c r="N18" s="235">
        <f t="shared" si="0"/>
        <v>6.614600000000003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120">
        <f t="shared" si="1"/>
        <v>14</v>
      </c>
      <c r="C19" s="58" t="s">
        <v>62</v>
      </c>
      <c r="D19" s="48" t="s">
        <v>101</v>
      </c>
      <c r="E19" s="47">
        <v>15</v>
      </c>
      <c r="F19" s="124">
        <v>3547.1</v>
      </c>
      <c r="G19" s="165">
        <v>7.94</v>
      </c>
      <c r="H19" s="78">
        <v>251</v>
      </c>
      <c r="I19" s="207"/>
      <c r="J19" s="163">
        <f t="shared" si="2"/>
        <v>15.090119999999999</v>
      </c>
      <c r="K19" s="163"/>
      <c r="L19" s="163"/>
      <c r="M19" s="236">
        <v>20.13</v>
      </c>
      <c r="N19" s="235">
        <f t="shared" si="0"/>
        <v>5.03988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120">
        <f t="shared" si="1"/>
        <v>15</v>
      </c>
      <c r="C20" s="58" t="s">
        <v>67</v>
      </c>
      <c r="D20" s="48" t="s">
        <v>101</v>
      </c>
      <c r="E20" s="47" t="s">
        <v>102</v>
      </c>
      <c r="F20" s="124">
        <v>3524.6</v>
      </c>
      <c r="G20" s="160">
        <v>7.6</v>
      </c>
      <c r="H20" s="168">
        <v>280</v>
      </c>
      <c r="I20" s="206"/>
      <c r="J20" s="163">
        <f t="shared" si="2"/>
        <v>16.833599999999997</v>
      </c>
      <c r="K20" s="163"/>
      <c r="L20" s="163"/>
      <c r="M20" s="236">
        <v>16.24</v>
      </c>
      <c r="N20" s="235">
        <f t="shared" si="0"/>
        <v>-0.5935999999999986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120">
        <f t="shared" si="1"/>
        <v>16</v>
      </c>
      <c r="C21" s="58" t="s">
        <v>126</v>
      </c>
      <c r="D21" s="48" t="s">
        <v>127</v>
      </c>
      <c r="E21" s="47">
        <v>7</v>
      </c>
      <c r="F21" s="124">
        <v>16614.4</v>
      </c>
      <c r="G21" s="160">
        <v>7.6</v>
      </c>
      <c r="H21" s="168">
        <v>783</v>
      </c>
      <c r="I21" s="206"/>
      <c r="J21" s="163">
        <f t="shared" si="2"/>
        <v>47.07396</v>
      </c>
      <c r="K21" s="163"/>
      <c r="L21" s="163"/>
      <c r="M21" s="236">
        <v>96.88</v>
      </c>
      <c r="N21" s="235">
        <f t="shared" si="0"/>
        <v>49.806039999999996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120">
        <f t="shared" si="1"/>
        <v>17</v>
      </c>
      <c r="C22" s="58" t="s">
        <v>68</v>
      </c>
      <c r="D22" s="48" t="s">
        <v>111</v>
      </c>
      <c r="E22" s="51" t="s">
        <v>112</v>
      </c>
      <c r="F22" s="124">
        <v>14948.6</v>
      </c>
      <c r="G22" s="160">
        <v>7.28</v>
      </c>
      <c r="H22" s="168">
        <v>916</v>
      </c>
      <c r="I22" s="206"/>
      <c r="J22" s="163">
        <f t="shared" si="2"/>
        <v>55.069919999999996</v>
      </c>
      <c r="K22" s="163"/>
      <c r="L22" s="163"/>
      <c r="M22" s="236">
        <v>76.21</v>
      </c>
      <c r="N22" s="235">
        <f t="shared" si="0"/>
        <v>21.140079999999998</v>
      </c>
      <c r="O22" s="75"/>
      <c r="P22" s="3"/>
    </row>
    <row r="23" spans="2:16" ht="12.75" customHeight="1">
      <c r="B23" s="120">
        <f t="shared" si="1"/>
        <v>18</v>
      </c>
      <c r="C23" s="58" t="s">
        <v>148</v>
      </c>
      <c r="D23" s="48" t="s">
        <v>101</v>
      </c>
      <c r="E23" s="51" t="s">
        <v>149</v>
      </c>
      <c r="F23" s="124">
        <v>8832.7</v>
      </c>
      <c r="G23" s="160">
        <v>7.6</v>
      </c>
      <c r="H23" s="168">
        <v>27</v>
      </c>
      <c r="I23" s="206"/>
      <c r="J23" s="163">
        <f t="shared" si="2"/>
        <v>1.62324</v>
      </c>
      <c r="K23" s="163"/>
      <c r="L23" s="163"/>
      <c r="M23" s="236">
        <v>19.95</v>
      </c>
      <c r="N23" s="235">
        <f t="shared" si="0"/>
        <v>18.32676</v>
      </c>
      <c r="O23" s="75"/>
      <c r="P23" s="3"/>
    </row>
    <row r="24" spans="2:28" ht="12.75" customHeight="1">
      <c r="B24" s="120">
        <f t="shared" si="1"/>
        <v>19</v>
      </c>
      <c r="C24" s="58" t="s">
        <v>59</v>
      </c>
      <c r="D24" s="48" t="s">
        <v>101</v>
      </c>
      <c r="E24" s="52">
        <v>21</v>
      </c>
      <c r="F24" s="124">
        <v>19523.1</v>
      </c>
      <c r="G24" s="165">
        <v>6.32</v>
      </c>
      <c r="H24" s="78">
        <v>1240</v>
      </c>
      <c r="I24" s="207"/>
      <c r="J24" s="163">
        <f t="shared" si="2"/>
        <v>74.5488</v>
      </c>
      <c r="K24" s="163"/>
      <c r="L24" s="163"/>
      <c r="M24" s="236">
        <v>100.14</v>
      </c>
      <c r="N24" s="235">
        <f t="shared" si="0"/>
        <v>25.5912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120">
        <f t="shared" si="1"/>
        <v>20</v>
      </c>
      <c r="C25" s="58" t="s">
        <v>104</v>
      </c>
      <c r="D25" s="48" t="s">
        <v>101</v>
      </c>
      <c r="E25" s="52">
        <v>23</v>
      </c>
      <c r="F25" s="131">
        <v>18481.1</v>
      </c>
      <c r="G25" s="160">
        <v>6.7</v>
      </c>
      <c r="H25" s="168">
        <v>1094</v>
      </c>
      <c r="I25" s="206"/>
      <c r="J25" s="163">
        <f t="shared" si="2"/>
        <v>65.77128</v>
      </c>
      <c r="K25" s="163">
        <v>24</v>
      </c>
      <c r="L25" s="162">
        <f>K25*60.12/1000</f>
        <v>1.44288</v>
      </c>
      <c r="M25" s="241">
        <v>94.02</v>
      </c>
      <c r="N25" s="235">
        <f>M25-I25-J25-L25</f>
        <v>26.805839999999993</v>
      </c>
      <c r="O25" s="75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120">
        <f t="shared" si="1"/>
        <v>21</v>
      </c>
      <c r="C26" s="58" t="s">
        <v>105</v>
      </c>
      <c r="D26" s="48" t="s">
        <v>101</v>
      </c>
      <c r="E26" s="52">
        <v>25</v>
      </c>
      <c r="F26" s="124">
        <v>18464.4</v>
      </c>
      <c r="G26" s="160">
        <v>6.8</v>
      </c>
      <c r="H26" s="168">
        <v>1167</v>
      </c>
      <c r="I26" s="206"/>
      <c r="J26" s="163">
        <f t="shared" si="2"/>
        <v>70.16004</v>
      </c>
      <c r="K26" s="163"/>
      <c r="L26" s="163"/>
      <c r="M26" s="242">
        <f>48.62+57.18</f>
        <v>105.8</v>
      </c>
      <c r="N26" s="235">
        <f t="shared" si="0"/>
        <v>35.63996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120">
        <f t="shared" si="1"/>
        <v>22</v>
      </c>
      <c r="C27" s="58" t="s">
        <v>103</v>
      </c>
      <c r="D27" s="47" t="s">
        <v>101</v>
      </c>
      <c r="E27" s="52">
        <v>17</v>
      </c>
      <c r="F27" s="124">
        <v>30266.3</v>
      </c>
      <c r="G27" s="165">
        <v>6.22</v>
      </c>
      <c r="H27" s="78">
        <v>1792</v>
      </c>
      <c r="I27" s="207"/>
      <c r="J27" s="163">
        <f t="shared" si="2"/>
        <v>107.73504</v>
      </c>
      <c r="K27" s="163"/>
      <c r="L27" s="163"/>
      <c r="M27" s="241">
        <f>39.6+89.51+39.62</f>
        <v>168.73000000000002</v>
      </c>
      <c r="N27" s="235">
        <f t="shared" si="0"/>
        <v>60.99496000000002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6" ht="12.75" customHeight="1">
      <c r="B28" s="120">
        <f t="shared" si="1"/>
        <v>23</v>
      </c>
      <c r="C28" s="58" t="s">
        <v>65</v>
      </c>
      <c r="D28" s="47" t="s">
        <v>113</v>
      </c>
      <c r="E28" s="52">
        <v>19</v>
      </c>
      <c r="F28" s="124">
        <v>24146</v>
      </c>
      <c r="G28" s="160">
        <v>6.24</v>
      </c>
      <c r="H28" s="168">
        <v>1407</v>
      </c>
      <c r="I28" s="206"/>
      <c r="J28" s="163">
        <f t="shared" si="2"/>
        <v>84.58883999999999</v>
      </c>
      <c r="K28" s="163">
        <v>20</v>
      </c>
      <c r="L28" s="162">
        <f>K28*60.12/1000</f>
        <v>1.2024</v>
      </c>
      <c r="M28" s="241">
        <f>59.6+49.26</f>
        <v>108.86</v>
      </c>
      <c r="N28" s="235">
        <f>M28-I28-J28-L28</f>
        <v>23.068760000000008</v>
      </c>
      <c r="O28" s="75"/>
      <c r="P28" s="3"/>
    </row>
    <row r="29" spans="2:28" ht="12.75" customHeight="1">
      <c r="B29" s="120">
        <f t="shared" si="1"/>
        <v>24</v>
      </c>
      <c r="C29" s="58" t="s">
        <v>63</v>
      </c>
      <c r="D29" s="48" t="s">
        <v>101</v>
      </c>
      <c r="E29" s="52">
        <v>29</v>
      </c>
      <c r="F29" s="124">
        <v>20258.6</v>
      </c>
      <c r="G29" s="160">
        <v>6.4</v>
      </c>
      <c r="H29" s="168">
        <f>533+721</f>
        <v>1254</v>
      </c>
      <c r="I29" s="185">
        <f aca="true" t="shared" si="3" ref="I29:I44">H29*77.7/1000</f>
        <v>97.4358</v>
      </c>
      <c r="J29" s="113"/>
      <c r="K29" s="113"/>
      <c r="L29" s="113"/>
      <c r="M29" s="239">
        <v>124.82</v>
      </c>
      <c r="N29" s="235">
        <f t="shared" si="0"/>
        <v>27.384199999999993</v>
      </c>
      <c r="O29" s="75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120">
        <f t="shared" si="1"/>
        <v>25</v>
      </c>
      <c r="C30" s="58" t="s">
        <v>55</v>
      </c>
      <c r="D30" s="47" t="s">
        <v>101</v>
      </c>
      <c r="E30" s="52">
        <v>31</v>
      </c>
      <c r="F30" s="124">
        <v>6735.1</v>
      </c>
      <c r="G30" s="160">
        <v>6.61</v>
      </c>
      <c r="H30" s="168">
        <v>405</v>
      </c>
      <c r="I30" s="185">
        <f t="shared" si="3"/>
        <v>31.4685</v>
      </c>
      <c r="J30" s="160"/>
      <c r="K30" s="160"/>
      <c r="L30" s="160"/>
      <c r="M30" s="240">
        <v>35.29</v>
      </c>
      <c r="N30" s="235">
        <f t="shared" si="0"/>
        <v>3.8215000000000003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120">
        <f t="shared" si="1"/>
        <v>26</v>
      </c>
      <c r="C31" s="58" t="s">
        <v>84</v>
      </c>
      <c r="D31" s="47" t="s">
        <v>85</v>
      </c>
      <c r="E31" s="52">
        <v>27</v>
      </c>
      <c r="F31" s="124">
        <v>13989.3</v>
      </c>
      <c r="G31" s="160">
        <v>5.99</v>
      </c>
      <c r="H31" s="168">
        <f>554+568</f>
        <v>1122</v>
      </c>
      <c r="I31" s="185">
        <f t="shared" si="3"/>
        <v>87.17940000000002</v>
      </c>
      <c r="J31" s="160"/>
      <c r="K31" s="160"/>
      <c r="L31" s="160"/>
      <c r="M31" s="239">
        <f>39.21+49.41</f>
        <v>88.62</v>
      </c>
      <c r="N31" s="235">
        <f t="shared" si="0"/>
        <v>1.4405999999999892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120">
        <f t="shared" si="1"/>
        <v>27</v>
      </c>
      <c r="C32" s="58" t="s">
        <v>2</v>
      </c>
      <c r="D32" s="47" t="s">
        <v>85</v>
      </c>
      <c r="E32" s="52">
        <v>29</v>
      </c>
      <c r="F32" s="124">
        <v>13695.4</v>
      </c>
      <c r="G32" s="160">
        <v>6.08</v>
      </c>
      <c r="H32" s="168">
        <v>932</v>
      </c>
      <c r="I32" s="185">
        <f t="shared" si="3"/>
        <v>72.41640000000001</v>
      </c>
      <c r="J32" s="113"/>
      <c r="K32" s="113"/>
      <c r="L32" s="113"/>
      <c r="M32" s="240">
        <f>78.25-0.18-0.9</f>
        <v>77.16999999999999</v>
      </c>
      <c r="N32" s="235">
        <f t="shared" si="0"/>
        <v>4.753599999999977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120">
        <f t="shared" si="1"/>
        <v>28</v>
      </c>
      <c r="C33" s="58" t="s">
        <v>3</v>
      </c>
      <c r="D33" s="47" t="s">
        <v>85</v>
      </c>
      <c r="E33" s="52">
        <v>31</v>
      </c>
      <c r="F33" s="124">
        <v>6360.3</v>
      </c>
      <c r="G33" s="160">
        <v>7.81</v>
      </c>
      <c r="H33" s="168">
        <v>439</v>
      </c>
      <c r="I33" s="185">
        <f t="shared" si="3"/>
        <v>34.1103</v>
      </c>
      <c r="J33" s="113"/>
      <c r="K33" s="113"/>
      <c r="L33" s="113"/>
      <c r="M33" s="240">
        <f>52.09-0.79-0.39</f>
        <v>50.910000000000004</v>
      </c>
      <c r="N33" s="235">
        <f t="shared" si="0"/>
        <v>16.7997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120">
        <f t="shared" si="1"/>
        <v>29</v>
      </c>
      <c r="C34" s="58" t="s">
        <v>4</v>
      </c>
      <c r="D34" s="47" t="s">
        <v>113</v>
      </c>
      <c r="E34" s="52" t="s">
        <v>114</v>
      </c>
      <c r="F34" s="124">
        <v>12946.5</v>
      </c>
      <c r="G34" s="160">
        <v>6.69</v>
      </c>
      <c r="H34" s="168">
        <v>763</v>
      </c>
      <c r="I34" s="185">
        <f t="shared" si="3"/>
        <v>59.2851</v>
      </c>
      <c r="J34" s="113"/>
      <c r="K34" s="113"/>
      <c r="L34" s="113"/>
      <c r="M34" s="239">
        <f>70.81-1.16-2.17</f>
        <v>67.48</v>
      </c>
      <c r="N34" s="235">
        <f t="shared" si="0"/>
        <v>8.194900000000004</v>
      </c>
      <c r="O34" s="75"/>
      <c r="P34" s="3"/>
    </row>
    <row r="35" spans="2:16" ht="12.75" customHeight="1">
      <c r="B35" s="120">
        <f t="shared" si="1"/>
        <v>30</v>
      </c>
      <c r="C35" s="58" t="s">
        <v>5</v>
      </c>
      <c r="D35" s="47" t="s">
        <v>113</v>
      </c>
      <c r="E35" s="52">
        <v>35</v>
      </c>
      <c r="F35" s="124">
        <v>12207.7</v>
      </c>
      <c r="G35" s="160">
        <v>6.72</v>
      </c>
      <c r="H35" s="168">
        <v>830</v>
      </c>
      <c r="I35" s="185">
        <f t="shared" si="3"/>
        <v>64.491</v>
      </c>
      <c r="J35" s="113"/>
      <c r="K35" s="113"/>
      <c r="L35" s="113"/>
      <c r="M35" s="239">
        <v>61.9</v>
      </c>
      <c r="N35" s="235">
        <f t="shared" si="0"/>
        <v>-2.591000000000001</v>
      </c>
      <c r="O35" s="75"/>
      <c r="P35" s="3"/>
    </row>
    <row r="36" spans="2:16" ht="12.75" customHeight="1">
      <c r="B36" s="120">
        <f t="shared" si="1"/>
        <v>31</v>
      </c>
      <c r="C36" s="58" t="s">
        <v>6</v>
      </c>
      <c r="D36" s="47" t="s">
        <v>113</v>
      </c>
      <c r="E36" s="52">
        <v>39</v>
      </c>
      <c r="F36" s="124">
        <v>4902.2</v>
      </c>
      <c r="G36" s="160">
        <v>6.14</v>
      </c>
      <c r="H36" s="168">
        <v>328</v>
      </c>
      <c r="I36" s="185">
        <f t="shared" si="3"/>
        <v>25.4856</v>
      </c>
      <c r="J36" s="113"/>
      <c r="K36" s="113"/>
      <c r="L36" s="113"/>
      <c r="M36" s="239">
        <v>28.76</v>
      </c>
      <c r="N36" s="235">
        <f t="shared" si="0"/>
        <v>3.2744</v>
      </c>
      <c r="O36" s="75"/>
      <c r="P36" s="3"/>
    </row>
    <row r="37" spans="2:28" ht="12.75" customHeight="1">
      <c r="B37" s="120">
        <f t="shared" si="1"/>
        <v>32</v>
      </c>
      <c r="C37" s="58" t="s">
        <v>64</v>
      </c>
      <c r="D37" s="47" t="s">
        <v>101</v>
      </c>
      <c r="E37" s="52">
        <v>33</v>
      </c>
      <c r="F37" s="124">
        <v>19674.8</v>
      </c>
      <c r="G37" s="160">
        <v>6.53</v>
      </c>
      <c r="H37" s="168">
        <f>696+649</f>
        <v>1345</v>
      </c>
      <c r="I37" s="185">
        <f t="shared" si="3"/>
        <v>104.5065</v>
      </c>
      <c r="J37" s="160"/>
      <c r="K37" s="160"/>
      <c r="L37" s="160"/>
      <c r="M37" s="239">
        <f>63.56+56.41-0.22-0.31</f>
        <v>119.44</v>
      </c>
      <c r="N37" s="235">
        <f t="shared" si="0"/>
        <v>14.933499999999995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120">
        <f t="shared" si="1"/>
        <v>33</v>
      </c>
      <c r="C38" s="58" t="s">
        <v>7</v>
      </c>
      <c r="D38" s="47" t="s">
        <v>101</v>
      </c>
      <c r="E38" s="52">
        <v>35</v>
      </c>
      <c r="F38" s="124">
        <v>10939</v>
      </c>
      <c r="G38" s="160">
        <v>7.28</v>
      </c>
      <c r="H38" s="168">
        <v>653</v>
      </c>
      <c r="I38" s="185">
        <f t="shared" si="3"/>
        <v>50.738099999999996</v>
      </c>
      <c r="J38" s="113"/>
      <c r="K38" s="113"/>
      <c r="L38" s="113"/>
      <c r="M38" s="239">
        <f>78.13-1.53-0.39</f>
        <v>76.21</v>
      </c>
      <c r="N38" s="235">
        <f aca="true" t="shared" si="4" ref="N38:N64">M38-I38-J38</f>
        <v>25.471899999999998</v>
      </c>
      <c r="O38" s="75"/>
      <c r="P38" s="3"/>
    </row>
    <row r="39" spans="2:28" ht="12.75" customHeight="1">
      <c r="B39" s="120">
        <f aca="true" t="shared" si="5" ref="B39:B64">B38+1</f>
        <v>34</v>
      </c>
      <c r="C39" s="58" t="s">
        <v>8</v>
      </c>
      <c r="D39" s="47" t="s">
        <v>85</v>
      </c>
      <c r="E39" s="52">
        <v>33</v>
      </c>
      <c r="F39" s="124">
        <v>6730.4</v>
      </c>
      <c r="G39" s="160">
        <v>8.01</v>
      </c>
      <c r="H39" s="168">
        <v>490</v>
      </c>
      <c r="I39" s="185">
        <f t="shared" si="3"/>
        <v>38.073</v>
      </c>
      <c r="J39" s="113"/>
      <c r="K39" s="113"/>
      <c r="L39" s="113"/>
      <c r="M39" s="240">
        <v>56.61</v>
      </c>
      <c r="N39" s="235">
        <f t="shared" si="4"/>
        <v>18.537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120">
        <f t="shared" si="5"/>
        <v>35</v>
      </c>
      <c r="C40" s="58" t="s">
        <v>9</v>
      </c>
      <c r="D40" s="48" t="s">
        <v>101</v>
      </c>
      <c r="E40" s="52">
        <v>45</v>
      </c>
      <c r="F40" s="124">
        <v>6586.2</v>
      </c>
      <c r="G40" s="164">
        <v>5.66</v>
      </c>
      <c r="H40" s="211">
        <v>457</v>
      </c>
      <c r="I40" s="185">
        <f t="shared" si="3"/>
        <v>35.508900000000004</v>
      </c>
      <c r="J40" s="83"/>
      <c r="K40" s="83"/>
      <c r="L40" s="83"/>
      <c r="M40" s="240">
        <f>40.97-0.59-0.7</f>
        <v>39.67999999999999</v>
      </c>
      <c r="N40" s="235">
        <f t="shared" si="4"/>
        <v>4.1710999999999885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120">
        <f t="shared" si="5"/>
        <v>36</v>
      </c>
      <c r="C41" s="58" t="s">
        <v>10</v>
      </c>
      <c r="D41" s="47" t="s">
        <v>113</v>
      </c>
      <c r="E41" s="52" t="s">
        <v>115</v>
      </c>
      <c r="F41" s="124">
        <v>2378.8</v>
      </c>
      <c r="G41" s="160">
        <v>9.34</v>
      </c>
      <c r="H41" s="168">
        <v>185</v>
      </c>
      <c r="I41" s="185">
        <f t="shared" si="3"/>
        <v>14.3745</v>
      </c>
      <c r="J41" s="113"/>
      <c r="K41" s="113"/>
      <c r="L41" s="113"/>
      <c r="M41" s="240">
        <v>19.23</v>
      </c>
      <c r="N41" s="235">
        <f t="shared" si="4"/>
        <v>4.855500000000001</v>
      </c>
      <c r="O41" s="75"/>
      <c r="P41" s="3"/>
    </row>
    <row r="42" spans="2:28" ht="12.75" customHeight="1">
      <c r="B42" s="120">
        <f t="shared" si="5"/>
        <v>37</v>
      </c>
      <c r="C42" s="58" t="s">
        <v>100</v>
      </c>
      <c r="D42" s="47" t="s">
        <v>98</v>
      </c>
      <c r="E42" s="52">
        <v>138</v>
      </c>
      <c r="F42" s="124">
        <v>7175.7</v>
      </c>
      <c r="G42" s="160">
        <v>8.97</v>
      </c>
      <c r="H42" s="168">
        <v>459</v>
      </c>
      <c r="I42" s="185">
        <f t="shared" si="3"/>
        <v>35.664300000000004</v>
      </c>
      <c r="J42" s="113"/>
      <c r="K42" s="113"/>
      <c r="L42" s="113"/>
      <c r="M42" s="239">
        <f>52.41-2.86-0.7</f>
        <v>48.849999999999994</v>
      </c>
      <c r="N42" s="235">
        <f t="shared" si="4"/>
        <v>13.18569999999999</v>
      </c>
      <c r="O42" s="75"/>
      <c r="P42" s="3"/>
      <c r="Q42" s="252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120">
        <f t="shared" si="5"/>
        <v>38</v>
      </c>
      <c r="C43" s="58" t="s">
        <v>58</v>
      </c>
      <c r="D43" s="49" t="s">
        <v>98</v>
      </c>
      <c r="E43" s="53" t="s">
        <v>99</v>
      </c>
      <c r="F43" s="131">
        <v>4256.7</v>
      </c>
      <c r="G43" s="160">
        <v>7.6</v>
      </c>
      <c r="H43" s="168">
        <v>278</v>
      </c>
      <c r="I43" s="185">
        <f t="shared" si="3"/>
        <v>21.600600000000004</v>
      </c>
      <c r="J43" s="160"/>
      <c r="K43" s="160"/>
      <c r="L43" s="160"/>
      <c r="M43" s="487">
        <v>33.87</v>
      </c>
      <c r="N43" s="235">
        <f t="shared" si="4"/>
        <v>12.269399999999994</v>
      </c>
      <c r="O43" s="75"/>
      <c r="P43" s="3"/>
      <c r="Q43" s="252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120">
        <f t="shared" si="5"/>
        <v>39</v>
      </c>
      <c r="C44" s="58" t="s">
        <v>12</v>
      </c>
      <c r="D44" s="47" t="s">
        <v>75</v>
      </c>
      <c r="E44" s="52">
        <v>59</v>
      </c>
      <c r="F44" s="124">
        <v>5797</v>
      </c>
      <c r="G44" s="160">
        <v>8.37</v>
      </c>
      <c r="H44" s="168">
        <v>479</v>
      </c>
      <c r="I44" s="185">
        <f t="shared" si="3"/>
        <v>37.218300000000006</v>
      </c>
      <c r="J44" s="161"/>
      <c r="K44" s="161"/>
      <c r="L44" s="161"/>
      <c r="M44" s="239">
        <v>42.77</v>
      </c>
      <c r="N44" s="235">
        <f t="shared" si="4"/>
        <v>5.551699999999997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120">
        <f t="shared" si="5"/>
        <v>40</v>
      </c>
      <c r="C45" s="58" t="s">
        <v>134</v>
      </c>
      <c r="D45" s="47" t="s">
        <v>75</v>
      </c>
      <c r="E45" s="52" t="s">
        <v>115</v>
      </c>
      <c r="F45" s="124">
        <v>5325.4</v>
      </c>
      <c r="G45" s="160">
        <v>7.6</v>
      </c>
      <c r="H45" s="168">
        <v>89</v>
      </c>
      <c r="I45" s="206"/>
      <c r="J45" s="163">
        <f>H45*60.12/1000</f>
        <v>5.35068</v>
      </c>
      <c r="K45" s="163"/>
      <c r="L45" s="163"/>
      <c r="M45" s="239">
        <v>58.98</v>
      </c>
      <c r="N45" s="235">
        <f t="shared" si="4"/>
        <v>53.62932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120">
        <f t="shared" si="5"/>
        <v>41</v>
      </c>
      <c r="C46" s="58" t="s">
        <v>13</v>
      </c>
      <c r="D46" s="47" t="s">
        <v>76</v>
      </c>
      <c r="E46" s="52">
        <v>5</v>
      </c>
      <c r="F46" s="124">
        <v>11675.3</v>
      </c>
      <c r="G46" s="160">
        <v>6.54</v>
      </c>
      <c r="H46" s="168">
        <v>887</v>
      </c>
      <c r="I46" s="185">
        <f aca="true" t="shared" si="6" ref="I46:I52">H46*77.7/1000</f>
        <v>68.91990000000001</v>
      </c>
      <c r="J46" s="113"/>
      <c r="K46" s="113"/>
      <c r="L46" s="113"/>
      <c r="M46" s="239">
        <v>100.84</v>
      </c>
      <c r="N46" s="235">
        <f t="shared" si="4"/>
        <v>31.92009999999999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120">
        <f t="shared" si="5"/>
        <v>42</v>
      </c>
      <c r="C47" s="58" t="s">
        <v>14</v>
      </c>
      <c r="D47" s="47" t="s">
        <v>76</v>
      </c>
      <c r="E47" s="52" t="s">
        <v>77</v>
      </c>
      <c r="F47" s="124">
        <v>3803.7</v>
      </c>
      <c r="G47" s="160">
        <v>8.22</v>
      </c>
      <c r="H47" s="168">
        <v>331</v>
      </c>
      <c r="I47" s="185">
        <f t="shared" si="6"/>
        <v>25.718700000000002</v>
      </c>
      <c r="J47" s="113"/>
      <c r="K47" s="113"/>
      <c r="L47" s="113"/>
      <c r="M47" s="239">
        <f>35.51-0.93</f>
        <v>34.58</v>
      </c>
      <c r="N47" s="235">
        <f t="shared" si="4"/>
        <v>8.861299999999996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120">
        <f t="shared" si="5"/>
        <v>43</v>
      </c>
      <c r="C48" s="58" t="s">
        <v>15</v>
      </c>
      <c r="D48" s="47" t="s">
        <v>86</v>
      </c>
      <c r="E48" s="52" t="s">
        <v>87</v>
      </c>
      <c r="F48" s="124">
        <v>13733.1</v>
      </c>
      <c r="G48" s="160">
        <v>7.14</v>
      </c>
      <c r="H48" s="168">
        <v>1153</v>
      </c>
      <c r="I48" s="185">
        <f t="shared" si="6"/>
        <v>89.58810000000001</v>
      </c>
      <c r="J48" s="160"/>
      <c r="K48" s="160"/>
      <c r="L48" s="160"/>
      <c r="M48" s="239">
        <v>106.39</v>
      </c>
      <c r="N48" s="235">
        <f t="shared" si="4"/>
        <v>16.80189999999999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120">
        <f t="shared" si="5"/>
        <v>44</v>
      </c>
      <c r="C49" s="58" t="s">
        <v>90</v>
      </c>
      <c r="D49" s="47" t="s">
        <v>86</v>
      </c>
      <c r="E49" s="52" t="s">
        <v>91</v>
      </c>
      <c r="F49" s="124">
        <v>8981.6</v>
      </c>
      <c r="G49" s="160">
        <v>7.06</v>
      </c>
      <c r="H49" s="168">
        <v>682</v>
      </c>
      <c r="I49" s="185">
        <f t="shared" si="6"/>
        <v>52.9914</v>
      </c>
      <c r="J49" s="160"/>
      <c r="K49" s="160"/>
      <c r="L49" s="160"/>
      <c r="M49" s="239">
        <v>69.41</v>
      </c>
      <c r="N49" s="235">
        <f t="shared" si="4"/>
        <v>16.418599999999998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120">
        <f t="shared" si="5"/>
        <v>45</v>
      </c>
      <c r="C50" s="58" t="s">
        <v>88</v>
      </c>
      <c r="D50" s="47" t="s">
        <v>86</v>
      </c>
      <c r="E50" s="52" t="s">
        <v>89</v>
      </c>
      <c r="F50" s="124">
        <v>4789.4</v>
      </c>
      <c r="G50" s="160">
        <v>7.02</v>
      </c>
      <c r="H50" s="168">
        <v>471</v>
      </c>
      <c r="I50" s="185">
        <f t="shared" si="6"/>
        <v>36.596700000000006</v>
      </c>
      <c r="J50" s="113"/>
      <c r="K50" s="113"/>
      <c r="L50" s="113"/>
      <c r="M50" s="239">
        <v>40.56</v>
      </c>
      <c r="N50" s="235">
        <f t="shared" si="4"/>
        <v>3.9632999999999967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120">
        <f t="shared" si="5"/>
        <v>46</v>
      </c>
      <c r="C51" s="58" t="s">
        <v>92</v>
      </c>
      <c r="D51" s="47" t="s">
        <v>86</v>
      </c>
      <c r="E51" s="52" t="s">
        <v>93</v>
      </c>
      <c r="F51" s="124">
        <v>5273.8</v>
      </c>
      <c r="G51" s="160">
        <v>6.27</v>
      </c>
      <c r="H51" s="168">
        <v>493</v>
      </c>
      <c r="I51" s="185">
        <f t="shared" si="6"/>
        <v>38.3061</v>
      </c>
      <c r="J51" s="113"/>
      <c r="K51" s="113"/>
      <c r="L51" s="113"/>
      <c r="M51" s="239">
        <v>37.25</v>
      </c>
      <c r="N51" s="235">
        <f t="shared" si="4"/>
        <v>-1.0561000000000007</v>
      </c>
      <c r="O51" s="75"/>
      <c r="P51" s="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120">
        <f t="shared" si="5"/>
        <v>47</v>
      </c>
      <c r="C52" s="58" t="s">
        <v>19</v>
      </c>
      <c r="D52" s="47" t="s">
        <v>83</v>
      </c>
      <c r="E52" s="52">
        <v>108</v>
      </c>
      <c r="F52" s="124">
        <v>11125.8</v>
      </c>
      <c r="G52" s="160">
        <v>6.52</v>
      </c>
      <c r="H52" s="168">
        <v>919</v>
      </c>
      <c r="I52" s="185">
        <f t="shared" si="6"/>
        <v>71.4063</v>
      </c>
      <c r="J52" s="113"/>
      <c r="K52" s="113"/>
      <c r="L52" s="113"/>
      <c r="M52" s="240">
        <f>68.08-0.7</f>
        <v>67.38</v>
      </c>
      <c r="N52" s="235">
        <f t="shared" si="4"/>
        <v>-4.026300000000006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120">
        <f t="shared" si="5"/>
        <v>48</v>
      </c>
      <c r="C53" s="58" t="s">
        <v>70</v>
      </c>
      <c r="D53" s="47" t="s">
        <v>83</v>
      </c>
      <c r="E53" s="52">
        <v>120</v>
      </c>
      <c r="F53" s="124">
        <v>6713.5</v>
      </c>
      <c r="G53" s="160">
        <v>7.59</v>
      </c>
      <c r="H53" s="168">
        <v>1026</v>
      </c>
      <c r="I53" s="206"/>
      <c r="J53" s="163">
        <f>H53*60.12/1000</f>
        <v>61.683119999999995</v>
      </c>
      <c r="K53" s="163"/>
      <c r="L53" s="163"/>
      <c r="M53" s="239">
        <v>35.17</v>
      </c>
      <c r="N53" s="235">
        <f t="shared" si="4"/>
        <v>-26.513119999999994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120">
        <f t="shared" si="5"/>
        <v>49</v>
      </c>
      <c r="C54" s="58" t="s">
        <v>135</v>
      </c>
      <c r="D54" s="47" t="s">
        <v>83</v>
      </c>
      <c r="E54" s="52">
        <v>124</v>
      </c>
      <c r="F54" s="124">
        <v>6718.7</v>
      </c>
      <c r="G54" s="160">
        <v>6.11</v>
      </c>
      <c r="H54" s="168">
        <v>327</v>
      </c>
      <c r="I54" s="206"/>
      <c r="J54" s="163">
        <f>H54*60.12/1000</f>
        <v>19.659239999999997</v>
      </c>
      <c r="K54" s="163"/>
      <c r="L54" s="163"/>
      <c r="M54" s="239">
        <f>40.24-0.39</f>
        <v>39.85</v>
      </c>
      <c r="N54" s="235">
        <f t="shared" si="4"/>
        <v>20.190760000000004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120">
        <f t="shared" si="5"/>
        <v>50</v>
      </c>
      <c r="C55" s="58" t="s">
        <v>136</v>
      </c>
      <c r="D55" s="47" t="s">
        <v>83</v>
      </c>
      <c r="E55" s="52">
        <v>128</v>
      </c>
      <c r="F55" s="124">
        <v>6706.5</v>
      </c>
      <c r="G55" s="160">
        <v>6.11</v>
      </c>
      <c r="H55" s="168">
        <v>360</v>
      </c>
      <c r="I55" s="206"/>
      <c r="J55" s="163">
        <f>H55*60.12/1000</f>
        <v>21.6432</v>
      </c>
      <c r="K55" s="163"/>
      <c r="L55" s="163"/>
      <c r="M55" s="239">
        <f>38.14-0.05</f>
        <v>38.09</v>
      </c>
      <c r="N55" s="235">
        <f t="shared" si="4"/>
        <v>16.446800000000003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28" ht="12.75" customHeight="1">
      <c r="B56" s="120">
        <f t="shared" si="5"/>
        <v>51</v>
      </c>
      <c r="C56" s="58" t="s">
        <v>20</v>
      </c>
      <c r="D56" s="47" t="s">
        <v>83</v>
      </c>
      <c r="E56" s="52">
        <v>110</v>
      </c>
      <c r="F56" s="124">
        <v>11638.3</v>
      </c>
      <c r="G56" s="160">
        <v>6.85</v>
      </c>
      <c r="H56" s="168">
        <v>619</v>
      </c>
      <c r="I56" s="185">
        <f aca="true" t="shared" si="7" ref="I56:I62">H56*77.7/1000</f>
        <v>48.0963</v>
      </c>
      <c r="J56" s="113"/>
      <c r="K56" s="113"/>
      <c r="L56" s="113"/>
      <c r="M56" s="239">
        <v>62.01</v>
      </c>
      <c r="N56" s="235">
        <f t="shared" si="4"/>
        <v>13.913699999999999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3"/>
    </row>
    <row r="57" spans="2:28" ht="12.75" customHeight="1">
      <c r="B57" s="120">
        <f t="shared" si="5"/>
        <v>52</v>
      </c>
      <c r="C57" s="58" t="s">
        <v>21</v>
      </c>
      <c r="D57" s="47" t="s">
        <v>83</v>
      </c>
      <c r="E57" s="52">
        <v>114</v>
      </c>
      <c r="F57" s="124">
        <v>9185</v>
      </c>
      <c r="G57" s="160">
        <v>6.66</v>
      </c>
      <c r="H57" s="168">
        <v>615</v>
      </c>
      <c r="I57" s="185">
        <f t="shared" si="7"/>
        <v>47.7855</v>
      </c>
      <c r="J57" s="113"/>
      <c r="K57" s="113"/>
      <c r="L57" s="113"/>
      <c r="M57" s="239">
        <v>58.92</v>
      </c>
      <c r="N57" s="235">
        <f t="shared" si="4"/>
        <v>11.134500000000003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120">
        <f t="shared" si="5"/>
        <v>53</v>
      </c>
      <c r="C58" s="58" t="s">
        <v>22</v>
      </c>
      <c r="D58" s="47" t="s">
        <v>83</v>
      </c>
      <c r="E58" s="52">
        <v>118</v>
      </c>
      <c r="F58" s="124">
        <v>9190.4</v>
      </c>
      <c r="G58" s="160">
        <v>6.69</v>
      </c>
      <c r="H58" s="168">
        <v>629</v>
      </c>
      <c r="I58" s="185">
        <f t="shared" si="7"/>
        <v>48.8733</v>
      </c>
      <c r="J58" s="113"/>
      <c r="K58" s="113"/>
      <c r="L58" s="113"/>
      <c r="M58" s="239">
        <v>54.17</v>
      </c>
      <c r="N58" s="235">
        <f t="shared" si="4"/>
        <v>5.296700000000001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</row>
    <row r="59" spans="2:28" ht="12.75" customHeight="1">
      <c r="B59" s="120">
        <f t="shared" si="5"/>
        <v>54</v>
      </c>
      <c r="C59" s="58" t="s">
        <v>23</v>
      </c>
      <c r="D59" s="47" t="s">
        <v>83</v>
      </c>
      <c r="E59" s="52">
        <v>122</v>
      </c>
      <c r="F59" s="124">
        <v>9187.9</v>
      </c>
      <c r="G59" s="160">
        <v>5.43</v>
      </c>
      <c r="H59" s="168">
        <v>539</v>
      </c>
      <c r="I59" s="185">
        <f t="shared" si="7"/>
        <v>41.880300000000005</v>
      </c>
      <c r="J59" s="113"/>
      <c r="K59" s="113"/>
      <c r="L59" s="113"/>
      <c r="M59" s="240">
        <v>36.12</v>
      </c>
      <c r="N59" s="235">
        <f t="shared" si="4"/>
        <v>-5.760300000000008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120">
        <f t="shared" si="5"/>
        <v>55</v>
      </c>
      <c r="C60" s="58" t="s">
        <v>24</v>
      </c>
      <c r="D60" s="47" t="s">
        <v>83</v>
      </c>
      <c r="E60" s="52">
        <v>126</v>
      </c>
      <c r="F60" s="124">
        <v>9187.1</v>
      </c>
      <c r="G60" s="160">
        <v>6</v>
      </c>
      <c r="H60" s="168">
        <v>738</v>
      </c>
      <c r="I60" s="185">
        <f t="shared" si="7"/>
        <v>57.3426</v>
      </c>
      <c r="J60" s="113"/>
      <c r="K60" s="113"/>
      <c r="L60" s="113"/>
      <c r="M60" s="239">
        <v>55.52</v>
      </c>
      <c r="N60" s="235">
        <f t="shared" si="4"/>
        <v>-1.8225999999999942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0"/>
    </row>
    <row r="61" spans="2:28" ht="12.75" customHeight="1">
      <c r="B61" s="120">
        <f t="shared" si="5"/>
        <v>56</v>
      </c>
      <c r="C61" s="58" t="s">
        <v>81</v>
      </c>
      <c r="D61" s="47" t="s">
        <v>79</v>
      </c>
      <c r="E61" s="52" t="s">
        <v>82</v>
      </c>
      <c r="F61" s="124">
        <v>6886.8</v>
      </c>
      <c r="G61" s="160">
        <v>6.38</v>
      </c>
      <c r="H61" s="168">
        <v>377</v>
      </c>
      <c r="I61" s="185">
        <f t="shared" si="7"/>
        <v>29.292900000000003</v>
      </c>
      <c r="J61" s="113"/>
      <c r="K61" s="113"/>
      <c r="L61" s="113"/>
      <c r="M61" s="113">
        <f>46.52-0.39</f>
        <v>46.13</v>
      </c>
      <c r="N61" s="235">
        <f t="shared" si="4"/>
        <v>16.8371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3"/>
    </row>
    <row r="62" spans="2:32" ht="14.25" customHeight="1" thickBot="1">
      <c r="B62" s="120">
        <f t="shared" si="5"/>
        <v>57</v>
      </c>
      <c r="C62" s="140" t="s">
        <v>78</v>
      </c>
      <c r="D62" s="141" t="s">
        <v>79</v>
      </c>
      <c r="E62" s="142" t="s">
        <v>80</v>
      </c>
      <c r="F62" s="129">
        <v>4261.1</v>
      </c>
      <c r="G62" s="173">
        <v>9.07</v>
      </c>
      <c r="H62" s="169">
        <v>254</v>
      </c>
      <c r="I62" s="185">
        <f t="shared" si="7"/>
        <v>19.735799999999998</v>
      </c>
      <c r="J62" s="172"/>
      <c r="K62" s="172"/>
      <c r="L62" s="172"/>
      <c r="M62" s="243">
        <v>68.39</v>
      </c>
      <c r="N62" s="235">
        <f t="shared" si="4"/>
        <v>48.6542</v>
      </c>
      <c r="O62" s="76"/>
      <c r="P62" s="25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0"/>
      <c r="AF62" s="1"/>
    </row>
    <row r="63" spans="2:32" ht="14.25" customHeight="1">
      <c r="B63" s="120">
        <f t="shared" si="5"/>
        <v>58</v>
      </c>
      <c r="C63" s="140" t="s">
        <v>144</v>
      </c>
      <c r="D63" s="141" t="s">
        <v>101</v>
      </c>
      <c r="E63" s="142">
        <v>32</v>
      </c>
      <c r="F63" s="124">
        <v>28893.1</v>
      </c>
      <c r="G63" s="173">
        <v>7.6</v>
      </c>
      <c r="H63" s="169">
        <v>368</v>
      </c>
      <c r="I63" s="208"/>
      <c r="J63" s="163">
        <f>H63*60.12/1000</f>
        <v>22.12416</v>
      </c>
      <c r="K63" s="228"/>
      <c r="L63" s="228"/>
      <c r="M63" s="172">
        <v>120.39</v>
      </c>
      <c r="N63" s="235">
        <f t="shared" si="4"/>
        <v>98.26584</v>
      </c>
      <c r="O63" s="14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 thickBot="1">
      <c r="B64" s="120">
        <f t="shared" si="5"/>
        <v>59</v>
      </c>
      <c r="C64" s="59" t="s">
        <v>145</v>
      </c>
      <c r="D64" s="50" t="s">
        <v>101</v>
      </c>
      <c r="E64" s="54">
        <v>36</v>
      </c>
      <c r="F64" s="129">
        <v>14015.8</v>
      </c>
      <c r="G64" s="174">
        <v>7.6</v>
      </c>
      <c r="H64" s="170">
        <v>120</v>
      </c>
      <c r="I64" s="209"/>
      <c r="J64" s="163">
        <f>H64*60.12/1000</f>
        <v>7.2143999999999995</v>
      </c>
      <c r="K64" s="228"/>
      <c r="L64" s="228"/>
      <c r="M64" s="244">
        <v>50.58</v>
      </c>
      <c r="N64" s="235">
        <f t="shared" si="4"/>
        <v>43.3656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14" ht="13.5" thickBot="1">
      <c r="B65" s="85"/>
      <c r="C65" s="10"/>
      <c r="D65" s="10"/>
      <c r="E65" s="8"/>
      <c r="F65" s="156">
        <f>SUM(F6:F64)</f>
        <v>599454.5</v>
      </c>
      <c r="G65" s="79"/>
      <c r="H65" s="56">
        <f aca="true" t="shared" si="8" ref="H65:N65">SUM(H6:H64)</f>
        <v>35894</v>
      </c>
      <c r="I65" s="56">
        <f t="shared" si="8"/>
        <v>1717.9470000000001</v>
      </c>
      <c r="J65" s="56">
        <f t="shared" si="8"/>
        <v>828.6940799999999</v>
      </c>
      <c r="K65" s="56"/>
      <c r="L65" s="56"/>
      <c r="M65" s="56">
        <f t="shared" si="8"/>
        <v>3625.44</v>
      </c>
      <c r="N65" s="56">
        <f t="shared" si="8"/>
        <v>1076.1536400000002</v>
      </c>
    </row>
    <row r="66" ht="12.75">
      <c r="F66" s="6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66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T69" sqref="T69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11.125" style="0" customWidth="1"/>
    <col min="4" max="4" width="17.625" style="0" hidden="1" customWidth="1"/>
    <col min="5" max="5" width="7.75390625" style="0" hidden="1" customWidth="1"/>
    <col min="6" max="6" width="9.00390625" style="0" hidden="1" customWidth="1"/>
    <col min="7" max="13" width="10.375" style="0" customWidth="1"/>
    <col min="14" max="14" width="8.875" style="0" customWidth="1"/>
    <col min="15" max="15" width="9.375" style="0" hidden="1" customWidth="1"/>
    <col min="16" max="16" width="9.625" style="0" hidden="1" customWidth="1"/>
    <col min="23" max="23" width="10.375" style="0" customWidth="1"/>
    <col min="24" max="26" width="10.00390625" style="0" customWidth="1"/>
    <col min="27" max="27" width="11.375" style="0" customWidth="1"/>
    <col min="28" max="28" width="10.625" style="0" customWidth="1"/>
    <col min="29" max="29" width="12.00390625" style="0" customWidth="1"/>
    <col min="30" max="30" width="11.875" style="0" customWidth="1"/>
    <col min="32" max="32" width="10.25390625" style="0" customWidth="1"/>
  </cols>
  <sheetData>
    <row r="2" spans="3:14" ht="15.75">
      <c r="C2" s="501" t="s">
        <v>151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7:29" ht="7.5" customHeight="1" thickBot="1">
      <c r="G3" s="1"/>
      <c r="H3" s="1"/>
      <c r="I3" s="1"/>
      <c r="J3" s="1"/>
      <c r="K3" s="1"/>
      <c r="L3" s="1"/>
      <c r="M3" s="1"/>
      <c r="N3" s="1"/>
      <c r="AC3" s="6">
        <v>480</v>
      </c>
    </row>
    <row r="4" spans="2:28" ht="16.5" thickBot="1">
      <c r="B4" s="18" t="s">
        <v>47</v>
      </c>
      <c r="C4" s="18" t="s">
        <v>47</v>
      </c>
      <c r="D4" s="14"/>
      <c r="E4" s="36"/>
      <c r="F4" s="14" t="s">
        <v>46</v>
      </c>
      <c r="G4" s="14" t="s">
        <v>44</v>
      </c>
      <c r="H4" s="495" t="s">
        <v>140</v>
      </c>
      <c r="I4" s="502"/>
      <c r="J4" s="502"/>
      <c r="K4" s="502"/>
      <c r="L4" s="502"/>
      <c r="M4" s="502"/>
      <c r="N4" s="496"/>
      <c r="O4" s="70" t="s">
        <v>125</v>
      </c>
      <c r="P4" s="66" t="s">
        <v>124</v>
      </c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</row>
    <row r="5" spans="2:28" ht="56.25" customHeight="1" thickBot="1">
      <c r="B5" s="44" t="s">
        <v>48</v>
      </c>
      <c r="C5" s="19" t="s">
        <v>49</v>
      </c>
      <c r="D5" s="17"/>
      <c r="E5" s="37"/>
      <c r="F5" s="17" t="s">
        <v>45</v>
      </c>
      <c r="G5" s="15" t="s">
        <v>150</v>
      </c>
      <c r="H5" s="182" t="s">
        <v>154</v>
      </c>
      <c r="I5" s="183" t="s">
        <v>155</v>
      </c>
      <c r="J5" s="182" t="s">
        <v>156</v>
      </c>
      <c r="K5" s="182" t="s">
        <v>163</v>
      </c>
      <c r="L5" s="183" t="s">
        <v>164</v>
      </c>
      <c r="M5" s="182" t="s">
        <v>158</v>
      </c>
      <c r="N5" s="182" t="s">
        <v>157</v>
      </c>
      <c r="O5" s="71" t="s">
        <v>51</v>
      </c>
      <c r="P5" s="35" t="s">
        <v>51</v>
      </c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</row>
    <row r="6" spans="2:28" ht="12.75">
      <c r="B6" s="119">
        <v>1</v>
      </c>
      <c r="C6" s="117" t="s">
        <v>131</v>
      </c>
      <c r="D6" s="47" t="s">
        <v>98</v>
      </c>
      <c r="E6" s="46" t="s">
        <v>138</v>
      </c>
      <c r="F6" s="122">
        <v>6457.6</v>
      </c>
      <c r="G6" s="216">
        <v>8.27</v>
      </c>
      <c r="H6" s="193">
        <v>622</v>
      </c>
      <c r="I6" s="185">
        <f>H6*77.7/1000</f>
        <v>48.3294</v>
      </c>
      <c r="J6" s="162"/>
      <c r="K6" s="162"/>
      <c r="L6" s="162"/>
      <c r="M6" s="195">
        <v>131.76</v>
      </c>
      <c r="N6" s="195">
        <f>M6-I6-J6</f>
        <v>83.4306</v>
      </c>
      <c r="O6" s="45"/>
      <c r="P6" s="35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</row>
    <row r="7" spans="2:28" ht="12.75">
      <c r="B7" s="120">
        <f aca="true" t="shared" si="0" ref="B7:B38">B6+1</f>
        <v>2</v>
      </c>
      <c r="C7" s="118" t="s">
        <v>132</v>
      </c>
      <c r="D7" s="47" t="s">
        <v>98</v>
      </c>
      <c r="E7" s="52">
        <v>79</v>
      </c>
      <c r="F7" s="124">
        <v>12688.5</v>
      </c>
      <c r="G7" s="163">
        <v>7.42</v>
      </c>
      <c r="H7" s="166">
        <v>1125</v>
      </c>
      <c r="I7" s="185">
        <v>87.08</v>
      </c>
      <c r="J7" s="163"/>
      <c r="K7" s="163"/>
      <c r="L7" s="163"/>
      <c r="M7" s="231">
        <v>266.02</v>
      </c>
      <c r="N7" s="195">
        <f>M7-I7-J7</f>
        <v>178.94</v>
      </c>
      <c r="O7" s="45"/>
      <c r="P7" s="35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</row>
    <row r="8" spans="2:28" ht="13.5" thickBot="1">
      <c r="B8" s="120">
        <f t="shared" si="0"/>
        <v>3</v>
      </c>
      <c r="C8" s="118" t="s">
        <v>133</v>
      </c>
      <c r="D8" s="64" t="s">
        <v>94</v>
      </c>
      <c r="E8" s="52" t="s">
        <v>137</v>
      </c>
      <c r="F8" s="124">
        <v>11181.7</v>
      </c>
      <c r="G8" s="163">
        <v>7.6</v>
      </c>
      <c r="H8" s="166">
        <v>625</v>
      </c>
      <c r="I8" s="185"/>
      <c r="J8" s="163">
        <f>H8*60.12/1000</f>
        <v>37.575</v>
      </c>
      <c r="K8" s="163"/>
      <c r="L8" s="163"/>
      <c r="M8" s="231">
        <v>164.59</v>
      </c>
      <c r="N8" s="195">
        <f aca="true" t="shared" si="1" ref="N8:N64">M8-I8-J8</f>
        <v>127.015</v>
      </c>
      <c r="O8" s="45"/>
      <c r="P8" s="35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</row>
    <row r="9" spans="2:28" ht="12.75" customHeight="1">
      <c r="B9" s="120">
        <f t="shared" si="0"/>
        <v>4</v>
      </c>
      <c r="C9" s="65" t="s">
        <v>71</v>
      </c>
      <c r="D9" s="64" t="s">
        <v>94</v>
      </c>
      <c r="E9" s="64" t="s">
        <v>95</v>
      </c>
      <c r="F9" s="155">
        <v>10509.4</v>
      </c>
      <c r="G9" s="159">
        <v>7.56</v>
      </c>
      <c r="H9" s="167">
        <v>287</v>
      </c>
      <c r="I9" s="205"/>
      <c r="J9" s="163">
        <f>H9*60.12/1000</f>
        <v>17.25444</v>
      </c>
      <c r="K9" s="162"/>
      <c r="L9" s="162">
        <f>K9*60.12/1000</f>
        <v>0</v>
      </c>
      <c r="M9" s="176">
        <v>178.63</v>
      </c>
      <c r="N9" s="195">
        <f>M9-I9-J9-L9</f>
        <v>161.37556</v>
      </c>
      <c r="O9" s="72"/>
      <c r="P9" s="55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  <c r="AB9" s="20"/>
    </row>
    <row r="10" spans="2:28" ht="12.75" customHeight="1">
      <c r="B10" s="120">
        <f t="shared" si="0"/>
        <v>5</v>
      </c>
      <c r="C10" s="57" t="s">
        <v>1</v>
      </c>
      <c r="D10" s="47" t="s">
        <v>96</v>
      </c>
      <c r="E10" s="47" t="s">
        <v>97</v>
      </c>
      <c r="F10" s="155">
        <v>9045.5</v>
      </c>
      <c r="G10" s="160">
        <v>6.41</v>
      </c>
      <c r="H10" s="167">
        <v>546</v>
      </c>
      <c r="I10" s="185">
        <f>H10*77.7/1000</f>
        <v>42.424200000000006</v>
      </c>
      <c r="J10" s="159"/>
      <c r="K10" s="159"/>
      <c r="L10" s="159"/>
      <c r="M10" s="176">
        <v>143.48</v>
      </c>
      <c r="N10" s="195">
        <f t="shared" si="1"/>
        <v>101.05579999999998</v>
      </c>
      <c r="O10" s="73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3"/>
    </row>
    <row r="11" spans="2:28" ht="12.75" customHeight="1">
      <c r="B11" s="120">
        <f t="shared" si="0"/>
        <v>6</v>
      </c>
      <c r="C11" s="58" t="s">
        <v>107</v>
      </c>
      <c r="D11" s="47" t="s">
        <v>108</v>
      </c>
      <c r="E11" s="47">
        <v>45</v>
      </c>
      <c r="F11" s="129">
        <v>7179.6</v>
      </c>
      <c r="G11" s="164">
        <v>7.38</v>
      </c>
      <c r="H11" s="211">
        <v>268</v>
      </c>
      <c r="I11" s="185">
        <f>H11*77.7/1000</f>
        <v>20.823600000000003</v>
      </c>
      <c r="J11" s="164"/>
      <c r="K11" s="164"/>
      <c r="L11" s="164"/>
      <c r="M11" s="231">
        <v>116.09</v>
      </c>
      <c r="N11" s="195">
        <f t="shared" si="1"/>
        <v>95.2664</v>
      </c>
      <c r="O11" s="74"/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 customHeight="1">
      <c r="B12" s="120">
        <f t="shared" si="0"/>
        <v>7</v>
      </c>
      <c r="C12" s="58" t="s">
        <v>109</v>
      </c>
      <c r="D12" s="47" t="s">
        <v>108</v>
      </c>
      <c r="E12" s="47" t="s">
        <v>110</v>
      </c>
      <c r="F12" s="124">
        <v>7003.6</v>
      </c>
      <c r="G12" s="164">
        <v>7.05</v>
      </c>
      <c r="H12" s="211">
        <v>375</v>
      </c>
      <c r="I12" s="185">
        <f>H12*77.7/1000</f>
        <v>29.1375</v>
      </c>
      <c r="J12" s="164"/>
      <c r="K12" s="164"/>
      <c r="L12" s="164"/>
      <c r="M12" s="231">
        <v>118.16</v>
      </c>
      <c r="N12" s="195">
        <f t="shared" si="1"/>
        <v>89.0225</v>
      </c>
      <c r="O12" s="74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16" ht="12.75" customHeight="1">
      <c r="B13" s="120">
        <f t="shared" si="0"/>
        <v>8</v>
      </c>
      <c r="C13" s="58" t="s">
        <v>116</v>
      </c>
      <c r="D13" s="48" t="s">
        <v>117</v>
      </c>
      <c r="E13" s="47" t="s">
        <v>118</v>
      </c>
      <c r="F13" s="124">
        <v>6727.7</v>
      </c>
      <c r="G13" s="160">
        <v>5.81</v>
      </c>
      <c r="H13" s="168">
        <v>649</v>
      </c>
      <c r="I13" s="185">
        <f>H13*77.7/1000</f>
        <v>50.4273</v>
      </c>
      <c r="J13" s="160"/>
      <c r="K13" s="160"/>
      <c r="L13" s="160"/>
      <c r="M13" s="179">
        <v>113.73</v>
      </c>
      <c r="N13" s="195">
        <f t="shared" si="1"/>
        <v>63.3027</v>
      </c>
      <c r="O13" s="75"/>
      <c r="P13" s="3"/>
    </row>
    <row r="14" spans="2:16" ht="12.75" customHeight="1">
      <c r="B14" s="120">
        <f t="shared" si="0"/>
        <v>9</v>
      </c>
      <c r="C14" s="58" t="s">
        <v>128</v>
      </c>
      <c r="D14" s="48" t="s">
        <v>101</v>
      </c>
      <c r="E14" s="47">
        <v>40</v>
      </c>
      <c r="F14" s="124">
        <v>4726.8</v>
      </c>
      <c r="G14" s="160">
        <v>7.6</v>
      </c>
      <c r="H14" s="168">
        <v>175</v>
      </c>
      <c r="I14" s="206"/>
      <c r="J14" s="163">
        <f aca="true" t="shared" si="2" ref="J14:J28">H14*60.12/1000</f>
        <v>10.521</v>
      </c>
      <c r="K14" s="163"/>
      <c r="L14" s="163"/>
      <c r="M14" s="179">
        <v>105.79</v>
      </c>
      <c r="N14" s="195">
        <f t="shared" si="1"/>
        <v>95.269</v>
      </c>
      <c r="O14" s="75"/>
      <c r="P14" s="3"/>
    </row>
    <row r="15" spans="2:16" ht="12.75" customHeight="1">
      <c r="B15" s="120">
        <f t="shared" si="0"/>
        <v>10</v>
      </c>
      <c r="C15" s="58" t="s">
        <v>129</v>
      </c>
      <c r="D15" s="48" t="s">
        <v>101</v>
      </c>
      <c r="E15" s="47">
        <v>42</v>
      </c>
      <c r="F15" s="124">
        <v>4730.4</v>
      </c>
      <c r="G15" s="160">
        <v>7.6</v>
      </c>
      <c r="H15" s="168">
        <v>397</v>
      </c>
      <c r="I15" s="206"/>
      <c r="J15" s="163">
        <f t="shared" si="2"/>
        <v>23.867639999999998</v>
      </c>
      <c r="K15" s="163"/>
      <c r="L15" s="163"/>
      <c r="M15" s="179">
        <v>105.24</v>
      </c>
      <c r="N15" s="195">
        <f t="shared" si="1"/>
        <v>81.37236</v>
      </c>
      <c r="O15" s="75"/>
      <c r="P15" s="3"/>
    </row>
    <row r="16" spans="2:16" ht="12.75" customHeight="1">
      <c r="B16" s="120">
        <f t="shared" si="0"/>
        <v>11</v>
      </c>
      <c r="C16" s="58" t="s">
        <v>130</v>
      </c>
      <c r="D16" s="48" t="s">
        <v>101</v>
      </c>
      <c r="E16" s="47">
        <v>44</v>
      </c>
      <c r="F16" s="124">
        <v>4727.7</v>
      </c>
      <c r="G16" s="160">
        <v>7.6</v>
      </c>
      <c r="H16" s="168">
        <v>378</v>
      </c>
      <c r="I16" s="206"/>
      <c r="J16" s="163">
        <f t="shared" si="2"/>
        <v>22.725360000000002</v>
      </c>
      <c r="K16" s="163"/>
      <c r="L16" s="163"/>
      <c r="M16" s="179">
        <v>85.51</v>
      </c>
      <c r="N16" s="195">
        <f t="shared" si="1"/>
        <v>62.78464</v>
      </c>
      <c r="O16" s="75"/>
      <c r="P16" s="3"/>
    </row>
    <row r="17" spans="2:16" ht="12.75" customHeight="1">
      <c r="B17" s="120">
        <f t="shared" si="0"/>
        <v>12</v>
      </c>
      <c r="C17" s="58" t="s">
        <v>120</v>
      </c>
      <c r="D17" s="48" t="s">
        <v>111</v>
      </c>
      <c r="E17" s="47">
        <v>11</v>
      </c>
      <c r="F17" s="124">
        <v>10656</v>
      </c>
      <c r="G17" s="160">
        <v>7.6</v>
      </c>
      <c r="H17" s="168">
        <v>920</v>
      </c>
      <c r="I17" s="206"/>
      <c r="J17" s="163">
        <f t="shared" si="2"/>
        <v>55.310399999999994</v>
      </c>
      <c r="K17" s="163"/>
      <c r="L17" s="163"/>
      <c r="M17" s="179">
        <v>226.47</v>
      </c>
      <c r="N17" s="195">
        <f t="shared" si="1"/>
        <v>171.1596</v>
      </c>
      <c r="O17" s="75"/>
      <c r="P17" s="32"/>
    </row>
    <row r="18" spans="2:28" ht="12.75" customHeight="1">
      <c r="B18" s="120">
        <f t="shared" si="0"/>
        <v>13</v>
      </c>
      <c r="C18" s="58" t="s">
        <v>61</v>
      </c>
      <c r="D18" s="48" t="s">
        <v>101</v>
      </c>
      <c r="E18" s="47">
        <v>13</v>
      </c>
      <c r="F18" s="124">
        <v>3545.7</v>
      </c>
      <c r="G18" s="165">
        <v>7.74</v>
      </c>
      <c r="H18" s="78">
        <v>366</v>
      </c>
      <c r="I18" s="207"/>
      <c r="J18" s="163">
        <f t="shared" si="2"/>
        <v>22.003919999999997</v>
      </c>
      <c r="K18" s="163"/>
      <c r="L18" s="163"/>
      <c r="M18" s="231">
        <v>78.04</v>
      </c>
      <c r="N18" s="195">
        <f t="shared" si="1"/>
        <v>56.03608000000001</v>
      </c>
      <c r="O18" s="75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0"/>
    </row>
    <row r="19" spans="2:28" ht="12.75" customHeight="1">
      <c r="B19" s="120">
        <f t="shared" si="0"/>
        <v>14</v>
      </c>
      <c r="C19" s="58" t="s">
        <v>62</v>
      </c>
      <c r="D19" s="48" t="s">
        <v>101</v>
      </c>
      <c r="E19" s="47">
        <v>15</v>
      </c>
      <c r="F19" s="124">
        <v>3547.1</v>
      </c>
      <c r="G19" s="165">
        <v>7.94</v>
      </c>
      <c r="H19" s="78">
        <v>273</v>
      </c>
      <c r="I19" s="207"/>
      <c r="J19" s="163">
        <f t="shared" si="2"/>
        <v>16.41276</v>
      </c>
      <c r="K19" s="163"/>
      <c r="L19" s="163"/>
      <c r="M19" s="231">
        <v>71.44</v>
      </c>
      <c r="N19" s="195">
        <f t="shared" si="1"/>
        <v>55.02724</v>
      </c>
      <c r="O19" s="75"/>
      <c r="P19" s="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0"/>
    </row>
    <row r="20" spans="2:28" ht="12.75" customHeight="1">
      <c r="B20" s="120">
        <f t="shared" si="0"/>
        <v>15</v>
      </c>
      <c r="C20" s="58" t="s">
        <v>67</v>
      </c>
      <c r="D20" s="48" t="s">
        <v>101</v>
      </c>
      <c r="E20" s="47" t="s">
        <v>102</v>
      </c>
      <c r="F20" s="124">
        <v>3524.6</v>
      </c>
      <c r="G20" s="160">
        <v>7.6</v>
      </c>
      <c r="H20" s="168">
        <v>335</v>
      </c>
      <c r="I20" s="206"/>
      <c r="J20" s="163">
        <f t="shared" si="2"/>
        <v>20.1402</v>
      </c>
      <c r="K20" s="163"/>
      <c r="L20" s="163"/>
      <c r="M20" s="231">
        <v>118.45</v>
      </c>
      <c r="N20" s="195">
        <f t="shared" si="1"/>
        <v>98.3098</v>
      </c>
      <c r="O20" s="75"/>
      <c r="P20" s="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3"/>
    </row>
    <row r="21" spans="2:28" ht="12.75" customHeight="1">
      <c r="B21" s="120">
        <f t="shared" si="0"/>
        <v>16</v>
      </c>
      <c r="C21" s="58" t="s">
        <v>126</v>
      </c>
      <c r="D21" s="48" t="s">
        <v>127</v>
      </c>
      <c r="E21" s="47">
        <v>7</v>
      </c>
      <c r="F21" s="124">
        <v>16614.4</v>
      </c>
      <c r="G21" s="160">
        <v>7.6</v>
      </c>
      <c r="H21" s="168">
        <v>1060</v>
      </c>
      <c r="I21" s="206"/>
      <c r="J21" s="163">
        <f t="shared" si="2"/>
        <v>63.727199999999996</v>
      </c>
      <c r="K21" s="163"/>
      <c r="L21" s="163"/>
      <c r="M21" s="231">
        <f>176.07+132.55</f>
        <v>308.62</v>
      </c>
      <c r="N21" s="195">
        <f t="shared" si="1"/>
        <v>244.89280000000002</v>
      </c>
      <c r="O21" s="75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  <c r="AB21" s="23"/>
    </row>
    <row r="22" spans="2:16" ht="12.75" customHeight="1">
      <c r="B22" s="120">
        <f t="shared" si="0"/>
        <v>17</v>
      </c>
      <c r="C22" s="58" t="s">
        <v>68</v>
      </c>
      <c r="D22" s="48" t="s">
        <v>111</v>
      </c>
      <c r="E22" s="51" t="s">
        <v>112</v>
      </c>
      <c r="F22" s="124">
        <v>14948.6</v>
      </c>
      <c r="G22" s="160">
        <v>7.28</v>
      </c>
      <c r="H22" s="168">
        <v>1223</v>
      </c>
      <c r="I22" s="206"/>
      <c r="J22" s="163">
        <f t="shared" si="2"/>
        <v>73.52676</v>
      </c>
      <c r="K22" s="163"/>
      <c r="L22" s="163"/>
      <c r="M22" s="231">
        <v>265.54</v>
      </c>
      <c r="N22" s="195">
        <f t="shared" si="1"/>
        <v>192.01324000000002</v>
      </c>
      <c r="O22" s="75"/>
      <c r="P22" s="3"/>
    </row>
    <row r="23" spans="2:16" ht="12.75" customHeight="1">
      <c r="B23" s="120">
        <f t="shared" si="0"/>
        <v>18</v>
      </c>
      <c r="C23" s="58" t="s">
        <v>148</v>
      </c>
      <c r="D23" s="48" t="s">
        <v>101</v>
      </c>
      <c r="E23" s="51" t="s">
        <v>149</v>
      </c>
      <c r="F23" s="124">
        <v>8832.7</v>
      </c>
      <c r="G23" s="160">
        <v>7.6</v>
      </c>
      <c r="H23" s="168">
        <v>15</v>
      </c>
      <c r="I23" s="206"/>
      <c r="J23" s="163">
        <f t="shared" si="2"/>
        <v>0.9017999999999999</v>
      </c>
      <c r="K23" s="163"/>
      <c r="L23" s="163"/>
      <c r="M23" s="231">
        <f>109.89+65.12</f>
        <v>175.01</v>
      </c>
      <c r="N23" s="195">
        <f t="shared" si="1"/>
        <v>174.10819999999998</v>
      </c>
      <c r="O23" s="75"/>
      <c r="P23" s="3"/>
    </row>
    <row r="24" spans="2:28" ht="12.75" customHeight="1">
      <c r="B24" s="120">
        <f t="shared" si="0"/>
        <v>19</v>
      </c>
      <c r="C24" s="58" t="s">
        <v>59</v>
      </c>
      <c r="D24" s="48" t="s">
        <v>101</v>
      </c>
      <c r="E24" s="52">
        <v>21</v>
      </c>
      <c r="F24" s="124">
        <v>19523.1</v>
      </c>
      <c r="G24" s="165">
        <v>6.32</v>
      </c>
      <c r="H24" s="78">
        <v>1540</v>
      </c>
      <c r="I24" s="207"/>
      <c r="J24" s="163">
        <f t="shared" si="2"/>
        <v>92.5848</v>
      </c>
      <c r="K24" s="163"/>
      <c r="L24" s="163"/>
      <c r="M24" s="231">
        <f>120.66+218.39</f>
        <v>339.04999999999995</v>
      </c>
      <c r="N24" s="195">
        <f t="shared" si="1"/>
        <v>246.46519999999995</v>
      </c>
      <c r="O24" s="75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  <c r="AB24" s="23"/>
    </row>
    <row r="25" spans="2:28" ht="12.75" customHeight="1">
      <c r="B25" s="120">
        <f t="shared" si="0"/>
        <v>20</v>
      </c>
      <c r="C25" s="58" t="s">
        <v>104</v>
      </c>
      <c r="D25" s="48" t="s">
        <v>101</v>
      </c>
      <c r="E25" s="52">
        <v>23</v>
      </c>
      <c r="F25" s="131">
        <v>18481.1</v>
      </c>
      <c r="G25" s="160">
        <v>6.7</v>
      </c>
      <c r="H25" s="168">
        <v>1335</v>
      </c>
      <c r="I25" s="206"/>
      <c r="J25" s="163">
        <f t="shared" si="2"/>
        <v>80.2602</v>
      </c>
      <c r="K25" s="163">
        <v>26</v>
      </c>
      <c r="L25" s="162">
        <f>K25*60.12/1000</f>
        <v>1.5631199999999998</v>
      </c>
      <c r="M25" s="194">
        <f>152.37+178.98</f>
        <v>331.35</v>
      </c>
      <c r="N25" s="195">
        <f>M25-I25-J25-L25</f>
        <v>249.52668000000003</v>
      </c>
      <c r="O25" s="75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  <c r="AB25" s="20"/>
    </row>
    <row r="26" spans="2:28" ht="12.75" customHeight="1">
      <c r="B26" s="120">
        <f t="shared" si="0"/>
        <v>21</v>
      </c>
      <c r="C26" s="58" t="s">
        <v>105</v>
      </c>
      <c r="D26" s="48" t="s">
        <v>101</v>
      </c>
      <c r="E26" s="52">
        <v>25</v>
      </c>
      <c r="F26" s="124">
        <v>18464.4</v>
      </c>
      <c r="G26" s="160">
        <v>6.8</v>
      </c>
      <c r="H26" s="168">
        <v>1505</v>
      </c>
      <c r="I26" s="206"/>
      <c r="J26" s="163">
        <f t="shared" si="2"/>
        <v>90.4806</v>
      </c>
      <c r="K26" s="163"/>
      <c r="L26" s="163"/>
      <c r="M26" s="194">
        <f>198.78+187.82</f>
        <v>386.6</v>
      </c>
      <c r="N26" s="195">
        <f t="shared" si="1"/>
        <v>296.11940000000004</v>
      </c>
      <c r="O26" s="75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  <c r="AB26" s="23"/>
    </row>
    <row r="27" spans="2:28" ht="12.75" customHeight="1">
      <c r="B27" s="120">
        <f t="shared" si="0"/>
        <v>22</v>
      </c>
      <c r="C27" s="58" t="s">
        <v>103</v>
      </c>
      <c r="D27" s="47" t="s">
        <v>101</v>
      </c>
      <c r="E27" s="52">
        <v>17</v>
      </c>
      <c r="F27" s="124">
        <v>30266.3</v>
      </c>
      <c r="G27" s="165">
        <v>6.22</v>
      </c>
      <c r="H27" s="78">
        <v>2188</v>
      </c>
      <c r="I27" s="207"/>
      <c r="J27" s="163">
        <f t="shared" si="2"/>
        <v>131.54256</v>
      </c>
      <c r="K27" s="163"/>
      <c r="L27" s="163"/>
      <c r="M27" s="194">
        <f>135.3+277.07+127.21</f>
        <v>539.58</v>
      </c>
      <c r="N27" s="195">
        <f t="shared" si="1"/>
        <v>408.03744000000006</v>
      </c>
      <c r="O27" s="75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  <c r="AB27" s="20"/>
    </row>
    <row r="28" spans="2:16" ht="12.75" customHeight="1">
      <c r="B28" s="120">
        <f t="shared" si="0"/>
        <v>23</v>
      </c>
      <c r="C28" s="58" t="s">
        <v>65</v>
      </c>
      <c r="D28" s="47" t="s">
        <v>113</v>
      </c>
      <c r="E28" s="52">
        <v>19</v>
      </c>
      <c r="F28" s="124">
        <v>24146</v>
      </c>
      <c r="G28" s="160">
        <v>6.24</v>
      </c>
      <c r="H28" s="168">
        <v>1817</v>
      </c>
      <c r="I28" s="206"/>
      <c r="J28" s="163">
        <f t="shared" si="2"/>
        <v>109.23804</v>
      </c>
      <c r="K28" s="163"/>
      <c r="L28" s="163"/>
      <c r="M28" s="194">
        <f>191.21+191.71</f>
        <v>382.92</v>
      </c>
      <c r="N28" s="195">
        <f t="shared" si="1"/>
        <v>273.68196</v>
      </c>
      <c r="O28" s="75"/>
      <c r="P28" s="3"/>
    </row>
    <row r="29" spans="2:28" ht="12.75" customHeight="1">
      <c r="B29" s="120">
        <f t="shared" si="0"/>
        <v>24</v>
      </c>
      <c r="C29" s="58" t="s">
        <v>63</v>
      </c>
      <c r="D29" s="48" t="s">
        <v>101</v>
      </c>
      <c r="E29" s="52">
        <v>29</v>
      </c>
      <c r="F29" s="124">
        <v>20258.6</v>
      </c>
      <c r="G29" s="160">
        <v>6.4</v>
      </c>
      <c r="H29" s="168">
        <f>798+932</f>
        <v>1730</v>
      </c>
      <c r="I29" s="185">
        <f aca="true" t="shared" si="3" ref="I29:I44">H29*77.7/1000</f>
        <v>134.421</v>
      </c>
      <c r="J29" s="160"/>
      <c r="K29" s="160"/>
      <c r="L29" s="160"/>
      <c r="M29" s="179">
        <f>161.15+227.96</f>
        <v>389.11</v>
      </c>
      <c r="N29" s="195">
        <f t="shared" si="1"/>
        <v>254.68900000000002</v>
      </c>
      <c r="O29" s="75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</row>
    <row r="30" spans="2:28" ht="12.75" customHeight="1">
      <c r="B30" s="120">
        <f t="shared" si="0"/>
        <v>25</v>
      </c>
      <c r="C30" s="58" t="s">
        <v>55</v>
      </c>
      <c r="D30" s="47" t="s">
        <v>101</v>
      </c>
      <c r="E30" s="52">
        <v>31</v>
      </c>
      <c r="F30" s="124">
        <v>6735.1</v>
      </c>
      <c r="G30" s="160">
        <v>6.61</v>
      </c>
      <c r="H30" s="168">
        <v>590</v>
      </c>
      <c r="I30" s="185">
        <f t="shared" si="3"/>
        <v>45.843</v>
      </c>
      <c r="J30" s="160"/>
      <c r="K30" s="160"/>
      <c r="L30" s="160"/>
      <c r="M30" s="179">
        <v>113.28</v>
      </c>
      <c r="N30" s="195">
        <f t="shared" si="1"/>
        <v>67.437</v>
      </c>
      <c r="O30" s="75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  <c r="AB30" s="23"/>
    </row>
    <row r="31" spans="2:28" ht="12.75" customHeight="1">
      <c r="B31" s="120">
        <f t="shared" si="0"/>
        <v>26</v>
      </c>
      <c r="C31" s="58" t="s">
        <v>84</v>
      </c>
      <c r="D31" s="47" t="s">
        <v>85</v>
      </c>
      <c r="E31" s="52">
        <v>27</v>
      </c>
      <c r="F31" s="124">
        <v>13989.3</v>
      </c>
      <c r="G31" s="160">
        <v>5.99</v>
      </c>
      <c r="H31" s="168">
        <f>859+695</f>
        <v>1554</v>
      </c>
      <c r="I31" s="185">
        <f t="shared" si="3"/>
        <v>120.7458</v>
      </c>
      <c r="J31" s="160"/>
      <c r="K31" s="160"/>
      <c r="L31" s="160"/>
      <c r="M31" s="179">
        <f>111.25+154.16</f>
        <v>265.40999999999997</v>
      </c>
      <c r="N31" s="195">
        <f t="shared" si="1"/>
        <v>144.66419999999997</v>
      </c>
      <c r="O31" s="75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  <c r="AB31" s="20"/>
    </row>
    <row r="32" spans="2:28" ht="12.75" customHeight="1">
      <c r="B32" s="120">
        <f t="shared" si="0"/>
        <v>27</v>
      </c>
      <c r="C32" s="58" t="s">
        <v>2</v>
      </c>
      <c r="D32" s="47" t="s">
        <v>85</v>
      </c>
      <c r="E32" s="52">
        <v>29</v>
      </c>
      <c r="F32" s="124">
        <v>13695.4</v>
      </c>
      <c r="G32" s="160">
        <v>6.08</v>
      </c>
      <c r="H32" s="168">
        <v>1257</v>
      </c>
      <c r="I32" s="185">
        <f t="shared" si="3"/>
        <v>97.66890000000001</v>
      </c>
      <c r="J32" s="160"/>
      <c r="K32" s="160"/>
      <c r="L32" s="160"/>
      <c r="M32" s="179">
        <v>260.6</v>
      </c>
      <c r="N32" s="195">
        <f t="shared" si="1"/>
        <v>162.93110000000001</v>
      </c>
      <c r="O32" s="75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  <c r="AB32" s="20"/>
    </row>
    <row r="33" spans="2:28" ht="12.75" customHeight="1">
      <c r="B33" s="120">
        <f t="shared" si="0"/>
        <v>28</v>
      </c>
      <c r="C33" s="58" t="s">
        <v>3</v>
      </c>
      <c r="D33" s="47" t="s">
        <v>85</v>
      </c>
      <c r="E33" s="52">
        <v>31</v>
      </c>
      <c r="F33" s="124">
        <v>6360.3</v>
      </c>
      <c r="G33" s="160">
        <v>7.81</v>
      </c>
      <c r="H33" s="168">
        <v>540</v>
      </c>
      <c r="I33" s="185">
        <f t="shared" si="3"/>
        <v>41.958</v>
      </c>
      <c r="J33" s="160"/>
      <c r="K33" s="160"/>
      <c r="L33" s="160"/>
      <c r="M33" s="179">
        <v>143.3</v>
      </c>
      <c r="N33" s="195">
        <f t="shared" si="1"/>
        <v>101.34200000000001</v>
      </c>
      <c r="O33" s="75"/>
      <c r="P33" s="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  <c r="AB33" s="20"/>
    </row>
    <row r="34" spans="2:16" ht="12.75" customHeight="1">
      <c r="B34" s="120">
        <f t="shared" si="0"/>
        <v>29</v>
      </c>
      <c r="C34" s="58" t="s">
        <v>4</v>
      </c>
      <c r="D34" s="47" t="s">
        <v>113</v>
      </c>
      <c r="E34" s="52" t="s">
        <v>114</v>
      </c>
      <c r="F34" s="124">
        <v>12946.5</v>
      </c>
      <c r="G34" s="160">
        <v>6.69</v>
      </c>
      <c r="H34" s="168">
        <v>1039</v>
      </c>
      <c r="I34" s="185">
        <f t="shared" si="3"/>
        <v>80.7303</v>
      </c>
      <c r="J34" s="160"/>
      <c r="K34" s="160"/>
      <c r="L34" s="160"/>
      <c r="M34" s="179">
        <v>233.54</v>
      </c>
      <c r="N34" s="195">
        <f t="shared" si="1"/>
        <v>152.8097</v>
      </c>
      <c r="O34" s="75"/>
      <c r="P34" s="3"/>
    </row>
    <row r="35" spans="2:16" ht="12.75" customHeight="1">
      <c r="B35" s="120">
        <f t="shared" si="0"/>
        <v>30</v>
      </c>
      <c r="C35" s="58" t="s">
        <v>5</v>
      </c>
      <c r="D35" s="47" t="s">
        <v>113</v>
      </c>
      <c r="E35" s="52">
        <v>35</v>
      </c>
      <c r="F35" s="124">
        <v>12207.7</v>
      </c>
      <c r="G35" s="160">
        <v>6.72</v>
      </c>
      <c r="H35" s="168">
        <v>1076</v>
      </c>
      <c r="I35" s="185">
        <f t="shared" si="3"/>
        <v>83.6052</v>
      </c>
      <c r="J35" s="160"/>
      <c r="K35" s="160"/>
      <c r="L35" s="160"/>
      <c r="M35" s="179">
        <v>220.95</v>
      </c>
      <c r="N35" s="195">
        <f t="shared" si="1"/>
        <v>137.3448</v>
      </c>
      <c r="O35" s="75"/>
      <c r="P35" s="3"/>
    </row>
    <row r="36" spans="2:16" ht="12.75" customHeight="1">
      <c r="B36" s="120">
        <f t="shared" si="0"/>
        <v>31</v>
      </c>
      <c r="C36" s="58" t="s">
        <v>6</v>
      </c>
      <c r="D36" s="47" t="s">
        <v>113</v>
      </c>
      <c r="E36" s="52">
        <v>39</v>
      </c>
      <c r="F36" s="124">
        <v>4902.2</v>
      </c>
      <c r="G36" s="160">
        <v>6.14</v>
      </c>
      <c r="H36" s="168">
        <v>392</v>
      </c>
      <c r="I36" s="185">
        <f t="shared" si="3"/>
        <v>30.4584</v>
      </c>
      <c r="J36" s="160"/>
      <c r="K36" s="160"/>
      <c r="L36" s="160"/>
      <c r="M36" s="179">
        <v>86.44</v>
      </c>
      <c r="N36" s="195">
        <f t="shared" si="1"/>
        <v>55.9816</v>
      </c>
      <c r="O36" s="75"/>
      <c r="P36" s="3"/>
    </row>
    <row r="37" spans="2:28" ht="12.75" customHeight="1">
      <c r="B37" s="120">
        <f t="shared" si="0"/>
        <v>32</v>
      </c>
      <c r="C37" s="58" t="s">
        <v>64</v>
      </c>
      <c r="D37" s="47" t="s">
        <v>101</v>
      </c>
      <c r="E37" s="52">
        <v>33</v>
      </c>
      <c r="F37" s="124">
        <v>19674.8</v>
      </c>
      <c r="G37" s="160">
        <v>6.53</v>
      </c>
      <c r="H37" s="168">
        <f>903+817</f>
        <v>1720</v>
      </c>
      <c r="I37" s="185">
        <f t="shared" si="3"/>
        <v>133.644</v>
      </c>
      <c r="J37" s="160"/>
      <c r="K37" s="160"/>
      <c r="L37" s="160"/>
      <c r="M37" s="179">
        <f>177.06+172.46</f>
        <v>349.52</v>
      </c>
      <c r="N37" s="195">
        <f t="shared" si="1"/>
        <v>215.87599999999998</v>
      </c>
      <c r="O37" s="75"/>
      <c r="P37" s="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16" ht="12.75" customHeight="1">
      <c r="B38" s="120">
        <f t="shared" si="0"/>
        <v>33</v>
      </c>
      <c r="C38" s="58" t="s">
        <v>7</v>
      </c>
      <c r="D38" s="47" t="s">
        <v>101</v>
      </c>
      <c r="E38" s="52">
        <v>35</v>
      </c>
      <c r="F38" s="124">
        <v>10939</v>
      </c>
      <c r="G38" s="160">
        <v>7.28</v>
      </c>
      <c r="H38" s="168">
        <v>824</v>
      </c>
      <c r="I38" s="185">
        <f t="shared" si="3"/>
        <v>64.0248</v>
      </c>
      <c r="J38" s="160"/>
      <c r="K38" s="160"/>
      <c r="L38" s="160"/>
      <c r="M38" s="179">
        <v>228.61</v>
      </c>
      <c r="N38" s="195">
        <f t="shared" si="1"/>
        <v>164.58520000000001</v>
      </c>
      <c r="O38" s="75"/>
      <c r="P38" s="3"/>
    </row>
    <row r="39" spans="2:28" ht="12.75" customHeight="1">
      <c r="B39" s="120">
        <f aca="true" t="shared" si="4" ref="B39:B64">B38+1</f>
        <v>34</v>
      </c>
      <c r="C39" s="58" t="s">
        <v>8</v>
      </c>
      <c r="D39" s="47" t="s">
        <v>85</v>
      </c>
      <c r="E39" s="52">
        <v>33</v>
      </c>
      <c r="F39" s="124">
        <v>6730.4</v>
      </c>
      <c r="G39" s="160">
        <v>8.01</v>
      </c>
      <c r="H39" s="168">
        <v>687</v>
      </c>
      <c r="I39" s="185">
        <f t="shared" si="3"/>
        <v>53.3799</v>
      </c>
      <c r="J39" s="160"/>
      <c r="K39" s="160"/>
      <c r="L39" s="160"/>
      <c r="M39" s="179">
        <v>147.97</v>
      </c>
      <c r="N39" s="195">
        <f t="shared" si="1"/>
        <v>94.5901</v>
      </c>
      <c r="O39" s="75"/>
      <c r="P39" s="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  <c r="AB39" s="23"/>
    </row>
    <row r="40" spans="2:28" ht="12.75" customHeight="1">
      <c r="B40" s="120">
        <f t="shared" si="4"/>
        <v>35</v>
      </c>
      <c r="C40" s="58" t="s">
        <v>9</v>
      </c>
      <c r="D40" s="48" t="s">
        <v>101</v>
      </c>
      <c r="E40" s="52">
        <v>45</v>
      </c>
      <c r="F40" s="124">
        <v>6586.2</v>
      </c>
      <c r="G40" s="164">
        <v>5.66</v>
      </c>
      <c r="H40" s="211">
        <v>634</v>
      </c>
      <c r="I40" s="185">
        <f t="shared" si="3"/>
        <v>49.2618</v>
      </c>
      <c r="J40" s="164"/>
      <c r="K40" s="164"/>
      <c r="L40" s="164"/>
      <c r="M40" s="179">
        <v>122.91</v>
      </c>
      <c r="N40" s="195">
        <f t="shared" si="1"/>
        <v>73.6482</v>
      </c>
      <c r="O40" s="75"/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16" ht="12.75" customHeight="1">
      <c r="B41" s="120">
        <f t="shared" si="4"/>
        <v>36</v>
      </c>
      <c r="C41" s="58" t="s">
        <v>10</v>
      </c>
      <c r="D41" s="47" t="s">
        <v>113</v>
      </c>
      <c r="E41" s="52" t="s">
        <v>115</v>
      </c>
      <c r="F41" s="124">
        <v>2378.8</v>
      </c>
      <c r="G41" s="160">
        <v>9.34</v>
      </c>
      <c r="H41" s="168">
        <v>235</v>
      </c>
      <c r="I41" s="185">
        <f t="shared" si="3"/>
        <v>18.2595</v>
      </c>
      <c r="J41" s="160"/>
      <c r="K41" s="160"/>
      <c r="L41" s="160"/>
      <c r="M41" s="179">
        <v>56.68</v>
      </c>
      <c r="N41" s="195">
        <f t="shared" si="1"/>
        <v>38.420500000000004</v>
      </c>
      <c r="O41" s="75"/>
      <c r="P41" s="3"/>
    </row>
    <row r="42" spans="2:28" ht="12.75" customHeight="1">
      <c r="B42" s="120">
        <f t="shared" si="4"/>
        <v>37</v>
      </c>
      <c r="C42" s="58" t="s">
        <v>100</v>
      </c>
      <c r="D42" s="47" t="s">
        <v>98</v>
      </c>
      <c r="E42" s="52">
        <v>138</v>
      </c>
      <c r="F42" s="124">
        <v>7175.7</v>
      </c>
      <c r="G42" s="160">
        <v>8.97</v>
      </c>
      <c r="H42" s="168">
        <v>491</v>
      </c>
      <c r="I42" s="185">
        <f t="shared" si="3"/>
        <v>38.15070000000001</v>
      </c>
      <c r="J42" s="160"/>
      <c r="K42" s="160"/>
      <c r="L42" s="160"/>
      <c r="M42" s="179">
        <v>145.65</v>
      </c>
      <c r="N42" s="195">
        <f t="shared" si="1"/>
        <v>107.4993</v>
      </c>
      <c r="O42" s="75"/>
      <c r="P42" s="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2"/>
      <c r="AB42" s="20"/>
    </row>
    <row r="43" spans="2:28" ht="12.75" customHeight="1">
      <c r="B43" s="120">
        <f t="shared" si="4"/>
        <v>38</v>
      </c>
      <c r="C43" s="58" t="s">
        <v>58</v>
      </c>
      <c r="D43" s="49" t="s">
        <v>98</v>
      </c>
      <c r="E43" s="53" t="s">
        <v>99</v>
      </c>
      <c r="F43" s="131">
        <v>4256.7</v>
      </c>
      <c r="G43" s="160">
        <v>7.6</v>
      </c>
      <c r="H43" s="168">
        <v>314</v>
      </c>
      <c r="I43" s="185">
        <f t="shared" si="3"/>
        <v>24.3978</v>
      </c>
      <c r="J43" s="160"/>
      <c r="K43" s="160"/>
      <c r="L43" s="160"/>
      <c r="M43" s="488">
        <v>89.99</v>
      </c>
      <c r="N43" s="195">
        <f t="shared" si="1"/>
        <v>65.59219999999999</v>
      </c>
      <c r="O43" s="75"/>
      <c r="P43" s="3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2"/>
      <c r="AB43" s="20"/>
    </row>
    <row r="44" spans="2:28" ht="12.75" customHeight="1">
      <c r="B44" s="120">
        <f t="shared" si="4"/>
        <v>39</v>
      </c>
      <c r="C44" s="58" t="s">
        <v>12</v>
      </c>
      <c r="D44" s="47" t="s">
        <v>75</v>
      </c>
      <c r="E44" s="52">
        <v>59</v>
      </c>
      <c r="F44" s="124">
        <v>5797</v>
      </c>
      <c r="G44" s="160">
        <v>8.37</v>
      </c>
      <c r="H44" s="168">
        <v>495</v>
      </c>
      <c r="I44" s="185">
        <f t="shared" si="3"/>
        <v>38.4615</v>
      </c>
      <c r="J44" s="160"/>
      <c r="K44" s="160"/>
      <c r="L44" s="160"/>
      <c r="M44" s="179">
        <v>117.74</v>
      </c>
      <c r="N44" s="195">
        <f t="shared" si="1"/>
        <v>79.2785</v>
      </c>
      <c r="O44" s="75"/>
      <c r="P44" s="3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0"/>
    </row>
    <row r="45" spans="2:28" ht="12.75" customHeight="1">
      <c r="B45" s="120">
        <f t="shared" si="4"/>
        <v>40</v>
      </c>
      <c r="C45" s="58" t="s">
        <v>134</v>
      </c>
      <c r="D45" s="47" t="s">
        <v>75</v>
      </c>
      <c r="E45" s="52" t="s">
        <v>115</v>
      </c>
      <c r="F45" s="124">
        <v>5325.4</v>
      </c>
      <c r="G45" s="160">
        <v>7.6</v>
      </c>
      <c r="H45" s="168">
        <v>127</v>
      </c>
      <c r="I45" s="206"/>
      <c r="J45" s="163">
        <f>H45*60.12/1000</f>
        <v>7.63524</v>
      </c>
      <c r="K45" s="163"/>
      <c r="L45" s="163"/>
      <c r="M45" s="179">
        <v>125.58</v>
      </c>
      <c r="N45" s="195">
        <f t="shared" si="1"/>
        <v>117.94476</v>
      </c>
      <c r="O45" s="75"/>
      <c r="P45" s="3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0"/>
    </row>
    <row r="46" spans="2:28" ht="12.75" customHeight="1">
      <c r="B46" s="120">
        <f t="shared" si="4"/>
        <v>41</v>
      </c>
      <c r="C46" s="58" t="s">
        <v>13</v>
      </c>
      <c r="D46" s="47" t="s">
        <v>76</v>
      </c>
      <c r="E46" s="52">
        <v>5</v>
      </c>
      <c r="F46" s="124">
        <v>11675.3</v>
      </c>
      <c r="G46" s="160">
        <v>6.54</v>
      </c>
      <c r="H46" s="168">
        <v>1095</v>
      </c>
      <c r="I46" s="185">
        <f aca="true" t="shared" si="5" ref="I46:I52">H46*77.7/1000</f>
        <v>85.0815</v>
      </c>
      <c r="J46" s="160"/>
      <c r="K46" s="160"/>
      <c r="L46" s="160"/>
      <c r="M46" s="179">
        <v>233.89</v>
      </c>
      <c r="N46" s="195">
        <f t="shared" si="1"/>
        <v>148.80849999999998</v>
      </c>
      <c r="O46" s="75"/>
      <c r="P46" s="3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0"/>
    </row>
    <row r="47" spans="2:28" ht="12.75" customHeight="1">
      <c r="B47" s="120">
        <f t="shared" si="4"/>
        <v>42</v>
      </c>
      <c r="C47" s="58" t="s">
        <v>14</v>
      </c>
      <c r="D47" s="47" t="s">
        <v>76</v>
      </c>
      <c r="E47" s="52" t="s">
        <v>77</v>
      </c>
      <c r="F47" s="124">
        <v>3803.7</v>
      </c>
      <c r="G47" s="160">
        <v>8.22</v>
      </c>
      <c r="H47" s="168">
        <v>391</v>
      </c>
      <c r="I47" s="185">
        <f t="shared" si="5"/>
        <v>30.3807</v>
      </c>
      <c r="J47" s="160"/>
      <c r="K47" s="160"/>
      <c r="L47" s="160"/>
      <c r="M47" s="179">
        <v>88.31</v>
      </c>
      <c r="N47" s="195">
        <f t="shared" si="1"/>
        <v>57.9293</v>
      </c>
      <c r="O47" s="75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2"/>
      <c r="AB47" s="20"/>
    </row>
    <row r="48" spans="2:28" ht="12.75" customHeight="1">
      <c r="B48" s="120">
        <f t="shared" si="4"/>
        <v>43</v>
      </c>
      <c r="C48" s="58" t="s">
        <v>15</v>
      </c>
      <c r="D48" s="47" t="s">
        <v>86</v>
      </c>
      <c r="E48" s="52" t="s">
        <v>87</v>
      </c>
      <c r="F48" s="124">
        <v>13733.1</v>
      </c>
      <c r="G48" s="160">
        <v>7.14</v>
      </c>
      <c r="H48" s="168">
        <v>1277</v>
      </c>
      <c r="I48" s="185">
        <f t="shared" si="5"/>
        <v>99.22290000000001</v>
      </c>
      <c r="J48" s="160"/>
      <c r="K48" s="160"/>
      <c r="L48" s="160"/>
      <c r="M48" s="179">
        <v>288.05</v>
      </c>
      <c r="N48" s="195">
        <f t="shared" si="1"/>
        <v>188.8271</v>
      </c>
      <c r="O48" s="75"/>
      <c r="P48" s="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2"/>
      <c r="AB48" s="20"/>
    </row>
    <row r="49" spans="2:28" ht="12.75" customHeight="1">
      <c r="B49" s="120">
        <f t="shared" si="4"/>
        <v>44</v>
      </c>
      <c r="C49" s="58" t="s">
        <v>90</v>
      </c>
      <c r="D49" s="47" t="s">
        <v>86</v>
      </c>
      <c r="E49" s="52" t="s">
        <v>91</v>
      </c>
      <c r="F49" s="124">
        <v>8981.6</v>
      </c>
      <c r="G49" s="160">
        <v>7.06</v>
      </c>
      <c r="H49" s="168">
        <v>834</v>
      </c>
      <c r="I49" s="185">
        <f t="shared" si="5"/>
        <v>64.8018</v>
      </c>
      <c r="J49" s="160"/>
      <c r="K49" s="160"/>
      <c r="L49" s="160"/>
      <c r="M49" s="179">
        <v>284.53</v>
      </c>
      <c r="N49" s="195">
        <f t="shared" si="1"/>
        <v>219.72819999999996</v>
      </c>
      <c r="O49" s="75"/>
      <c r="P49" s="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2"/>
      <c r="AB49" s="20"/>
    </row>
    <row r="50" spans="2:28" ht="12.75" customHeight="1">
      <c r="B50" s="120">
        <f t="shared" si="4"/>
        <v>45</v>
      </c>
      <c r="C50" s="58" t="s">
        <v>88</v>
      </c>
      <c r="D50" s="47" t="s">
        <v>86</v>
      </c>
      <c r="E50" s="52" t="s">
        <v>89</v>
      </c>
      <c r="F50" s="124">
        <v>4789.4</v>
      </c>
      <c r="G50" s="160">
        <v>7.02</v>
      </c>
      <c r="H50" s="168">
        <v>471</v>
      </c>
      <c r="I50" s="185">
        <f t="shared" si="5"/>
        <v>36.596700000000006</v>
      </c>
      <c r="J50" s="160"/>
      <c r="K50" s="160"/>
      <c r="L50" s="160"/>
      <c r="M50" s="179">
        <v>101.22</v>
      </c>
      <c r="N50" s="195">
        <f t="shared" si="1"/>
        <v>64.6233</v>
      </c>
      <c r="O50" s="75"/>
      <c r="P50" s="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0"/>
    </row>
    <row r="51" spans="2:28" ht="12.75" customHeight="1">
      <c r="B51" s="120">
        <f t="shared" si="4"/>
        <v>46</v>
      </c>
      <c r="C51" s="58" t="s">
        <v>92</v>
      </c>
      <c r="D51" s="47" t="s">
        <v>86</v>
      </c>
      <c r="E51" s="52" t="s">
        <v>93</v>
      </c>
      <c r="F51" s="124">
        <v>5273.8</v>
      </c>
      <c r="G51" s="160">
        <v>6.27</v>
      </c>
      <c r="H51" s="168">
        <v>579</v>
      </c>
      <c r="I51" s="185">
        <f t="shared" si="5"/>
        <v>44.9883</v>
      </c>
      <c r="J51" s="160"/>
      <c r="K51" s="160"/>
      <c r="L51" s="160"/>
      <c r="M51" s="179">
        <v>107.25</v>
      </c>
      <c r="N51" s="195">
        <f t="shared" si="1"/>
        <v>62.2617</v>
      </c>
      <c r="O51" s="75"/>
      <c r="P51" s="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2"/>
      <c r="AB51" s="20"/>
    </row>
    <row r="52" spans="2:31" ht="12.75" customHeight="1">
      <c r="B52" s="120">
        <f t="shared" si="4"/>
        <v>47</v>
      </c>
      <c r="C52" s="58" t="s">
        <v>19</v>
      </c>
      <c r="D52" s="47" t="s">
        <v>83</v>
      </c>
      <c r="E52" s="52">
        <v>108</v>
      </c>
      <c r="F52" s="124">
        <v>11125.8</v>
      </c>
      <c r="G52" s="160">
        <v>6.52</v>
      </c>
      <c r="H52" s="168">
        <v>1298</v>
      </c>
      <c r="I52" s="185">
        <f t="shared" si="5"/>
        <v>100.8546</v>
      </c>
      <c r="J52" s="160"/>
      <c r="K52" s="160"/>
      <c r="L52" s="160"/>
      <c r="M52" s="179">
        <v>208.8</v>
      </c>
      <c r="N52" s="195">
        <f t="shared" si="1"/>
        <v>107.9454</v>
      </c>
      <c r="O52" s="75"/>
      <c r="P52" s="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2"/>
      <c r="AB52" s="20"/>
      <c r="AE52" s="1"/>
    </row>
    <row r="53" spans="2:31" ht="12.75" customHeight="1">
      <c r="B53" s="120">
        <f t="shared" si="4"/>
        <v>48</v>
      </c>
      <c r="C53" s="58" t="s">
        <v>70</v>
      </c>
      <c r="D53" s="47" t="s">
        <v>83</v>
      </c>
      <c r="E53" s="52">
        <v>120</v>
      </c>
      <c r="F53" s="124">
        <v>6713.5</v>
      </c>
      <c r="G53" s="160">
        <v>7.59</v>
      </c>
      <c r="H53" s="168">
        <v>612</v>
      </c>
      <c r="I53" s="206"/>
      <c r="J53" s="163">
        <f>H53*60.12/1000</f>
        <v>36.79344</v>
      </c>
      <c r="K53" s="163"/>
      <c r="L53" s="163"/>
      <c r="M53" s="179">
        <v>118.85</v>
      </c>
      <c r="N53" s="195">
        <f t="shared" si="1"/>
        <v>82.05655999999999</v>
      </c>
      <c r="O53" s="75"/>
      <c r="P53" s="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0"/>
      <c r="AE53" s="1"/>
    </row>
    <row r="54" spans="2:31" ht="12.75" customHeight="1">
      <c r="B54" s="120">
        <f t="shared" si="4"/>
        <v>49</v>
      </c>
      <c r="C54" s="58" t="s">
        <v>135</v>
      </c>
      <c r="D54" s="47" t="s">
        <v>83</v>
      </c>
      <c r="E54" s="52">
        <v>124</v>
      </c>
      <c r="F54" s="124">
        <v>6718.7</v>
      </c>
      <c r="G54" s="160">
        <v>6.11</v>
      </c>
      <c r="H54" s="168">
        <v>451</v>
      </c>
      <c r="I54" s="206"/>
      <c r="J54" s="163">
        <f>H54*60.12/1000</f>
        <v>27.11412</v>
      </c>
      <c r="K54" s="163"/>
      <c r="L54" s="163"/>
      <c r="M54" s="179">
        <v>130.93</v>
      </c>
      <c r="N54" s="195">
        <f t="shared" si="1"/>
        <v>103.81588</v>
      </c>
      <c r="O54" s="75"/>
      <c r="P54" s="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2"/>
      <c r="AB54" s="20"/>
      <c r="AE54" s="1"/>
    </row>
    <row r="55" spans="2:31" ht="12.75" customHeight="1">
      <c r="B55" s="120">
        <f t="shared" si="4"/>
        <v>50</v>
      </c>
      <c r="C55" s="58" t="s">
        <v>136</v>
      </c>
      <c r="D55" s="47" t="s">
        <v>83</v>
      </c>
      <c r="E55" s="52">
        <v>128</v>
      </c>
      <c r="F55" s="124">
        <v>6706.5</v>
      </c>
      <c r="G55" s="160">
        <v>6.11</v>
      </c>
      <c r="H55" s="168">
        <v>490</v>
      </c>
      <c r="I55" s="206"/>
      <c r="J55" s="163">
        <f>H55*60.12/1000</f>
        <v>29.4588</v>
      </c>
      <c r="K55" s="163"/>
      <c r="L55" s="163"/>
      <c r="M55" s="179">
        <v>124.26</v>
      </c>
      <c r="N55" s="195">
        <f t="shared" si="1"/>
        <v>94.80120000000001</v>
      </c>
      <c r="O55" s="75"/>
      <c r="P55" s="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2"/>
      <c r="AB55" s="20"/>
      <c r="AE55" s="1"/>
    </row>
    <row r="56" spans="2:28" ht="12.75" customHeight="1">
      <c r="B56" s="120">
        <f t="shared" si="4"/>
        <v>51</v>
      </c>
      <c r="C56" s="58" t="s">
        <v>20</v>
      </c>
      <c r="D56" s="47" t="s">
        <v>83</v>
      </c>
      <c r="E56" s="52">
        <v>110</v>
      </c>
      <c r="F56" s="124">
        <v>11638.3</v>
      </c>
      <c r="G56" s="160">
        <v>6.85</v>
      </c>
      <c r="H56" s="168">
        <v>822</v>
      </c>
      <c r="I56" s="185">
        <f aca="true" t="shared" si="6" ref="I56:I62">H56*77.7/1000</f>
        <v>63.8694</v>
      </c>
      <c r="J56" s="160"/>
      <c r="K56" s="160"/>
      <c r="L56" s="160"/>
      <c r="M56" s="179">
        <v>209.44</v>
      </c>
      <c r="N56" s="195">
        <f t="shared" si="1"/>
        <v>145.5706</v>
      </c>
      <c r="O56" s="75"/>
      <c r="P56" s="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3"/>
    </row>
    <row r="57" spans="2:28" ht="12.75" customHeight="1">
      <c r="B57" s="120">
        <f t="shared" si="4"/>
        <v>52</v>
      </c>
      <c r="C57" s="58" t="s">
        <v>21</v>
      </c>
      <c r="D57" s="47" t="s">
        <v>83</v>
      </c>
      <c r="E57" s="52">
        <v>114</v>
      </c>
      <c r="F57" s="124">
        <v>9185</v>
      </c>
      <c r="G57" s="160">
        <v>6.66</v>
      </c>
      <c r="H57" s="168">
        <v>800</v>
      </c>
      <c r="I57" s="185">
        <f t="shared" si="6"/>
        <v>62.16</v>
      </c>
      <c r="J57" s="160"/>
      <c r="K57" s="160"/>
      <c r="L57" s="160"/>
      <c r="M57" s="179">
        <v>181.34</v>
      </c>
      <c r="N57" s="195">
        <f t="shared" si="1"/>
        <v>119.18</v>
      </c>
      <c r="O57" s="75"/>
      <c r="P57" s="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3"/>
    </row>
    <row r="58" spans="2:28" ht="12.75" customHeight="1">
      <c r="B58" s="120">
        <f t="shared" si="4"/>
        <v>53</v>
      </c>
      <c r="C58" s="58" t="s">
        <v>22</v>
      </c>
      <c r="D58" s="47" t="s">
        <v>83</v>
      </c>
      <c r="E58" s="52">
        <v>118</v>
      </c>
      <c r="F58" s="124">
        <v>9190.4</v>
      </c>
      <c r="G58" s="160">
        <v>6.69</v>
      </c>
      <c r="H58" s="168">
        <v>850</v>
      </c>
      <c r="I58" s="185">
        <f t="shared" si="6"/>
        <v>66.045</v>
      </c>
      <c r="J58" s="160"/>
      <c r="K58" s="160"/>
      <c r="L58" s="160"/>
      <c r="M58" s="179">
        <v>181.54</v>
      </c>
      <c r="N58" s="195">
        <f t="shared" si="1"/>
        <v>115.49499999999999</v>
      </c>
      <c r="O58" s="75"/>
      <c r="P58" s="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0"/>
    </row>
    <row r="59" spans="2:28" ht="12.75" customHeight="1">
      <c r="B59" s="120">
        <f t="shared" si="4"/>
        <v>54</v>
      </c>
      <c r="C59" s="58" t="s">
        <v>23</v>
      </c>
      <c r="D59" s="47" t="s">
        <v>83</v>
      </c>
      <c r="E59" s="52">
        <v>122</v>
      </c>
      <c r="F59" s="124">
        <v>9187.9</v>
      </c>
      <c r="G59" s="160">
        <v>5.43</v>
      </c>
      <c r="H59" s="168">
        <v>947</v>
      </c>
      <c r="I59" s="185">
        <f t="shared" si="6"/>
        <v>73.5819</v>
      </c>
      <c r="J59" s="160"/>
      <c r="K59" s="160"/>
      <c r="L59" s="160"/>
      <c r="M59" s="179">
        <v>141.4</v>
      </c>
      <c r="N59" s="195">
        <f t="shared" si="1"/>
        <v>67.8181</v>
      </c>
      <c r="O59" s="75"/>
      <c r="P59" s="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2"/>
      <c r="AB59" s="23"/>
    </row>
    <row r="60" spans="2:28" ht="12.75" customHeight="1">
      <c r="B60" s="120">
        <f t="shared" si="4"/>
        <v>55</v>
      </c>
      <c r="C60" s="58" t="s">
        <v>24</v>
      </c>
      <c r="D60" s="47" t="s">
        <v>83</v>
      </c>
      <c r="E60" s="52">
        <v>126</v>
      </c>
      <c r="F60" s="124">
        <v>9187.1</v>
      </c>
      <c r="G60" s="160">
        <v>6</v>
      </c>
      <c r="H60" s="168">
        <v>935</v>
      </c>
      <c r="I60" s="185">
        <f t="shared" si="6"/>
        <v>72.6495</v>
      </c>
      <c r="J60" s="160"/>
      <c r="K60" s="160"/>
      <c r="L60" s="160"/>
      <c r="M60" s="179">
        <v>169.21</v>
      </c>
      <c r="N60" s="195">
        <f t="shared" si="1"/>
        <v>96.5605</v>
      </c>
      <c r="O60" s="75"/>
      <c r="P60" s="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  <c r="AB60" s="20"/>
    </row>
    <row r="61" spans="2:28" ht="12.75" customHeight="1">
      <c r="B61" s="120">
        <f t="shared" si="4"/>
        <v>56</v>
      </c>
      <c r="C61" s="58" t="s">
        <v>81</v>
      </c>
      <c r="D61" s="47" t="s">
        <v>79</v>
      </c>
      <c r="E61" s="52" t="s">
        <v>82</v>
      </c>
      <c r="F61" s="124">
        <v>6886.8</v>
      </c>
      <c r="G61" s="160">
        <v>6.38</v>
      </c>
      <c r="H61" s="168">
        <v>508</v>
      </c>
      <c r="I61" s="185">
        <f t="shared" si="6"/>
        <v>39.471599999999995</v>
      </c>
      <c r="J61" s="160"/>
      <c r="K61" s="160"/>
      <c r="L61" s="160"/>
      <c r="M61" s="179">
        <v>115.05</v>
      </c>
      <c r="N61" s="195">
        <f t="shared" si="1"/>
        <v>75.5784</v>
      </c>
      <c r="O61" s="75"/>
      <c r="P61" s="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2"/>
      <c r="AB61" s="23"/>
    </row>
    <row r="62" spans="2:32" ht="14.25" customHeight="1" thickBot="1">
      <c r="B62" s="120">
        <f t="shared" si="4"/>
        <v>57</v>
      </c>
      <c r="C62" s="140" t="s">
        <v>78</v>
      </c>
      <c r="D62" s="141" t="s">
        <v>79</v>
      </c>
      <c r="E62" s="142" t="s">
        <v>80</v>
      </c>
      <c r="F62" s="129">
        <v>4261.1</v>
      </c>
      <c r="G62" s="173">
        <v>9.07</v>
      </c>
      <c r="H62" s="169">
        <v>359</v>
      </c>
      <c r="I62" s="185">
        <f t="shared" si="6"/>
        <v>27.894299999999998</v>
      </c>
      <c r="J62" s="173"/>
      <c r="K62" s="173"/>
      <c r="L62" s="173"/>
      <c r="M62" s="233">
        <v>99.53</v>
      </c>
      <c r="N62" s="195">
        <f t="shared" si="1"/>
        <v>71.6357</v>
      </c>
      <c r="O62" s="76"/>
      <c r="P62" s="25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2"/>
      <c r="AB62" s="20"/>
      <c r="AF62" s="1"/>
    </row>
    <row r="63" spans="2:32" ht="14.25" customHeight="1">
      <c r="B63" s="120">
        <f t="shared" si="4"/>
        <v>58</v>
      </c>
      <c r="C63" s="140" t="s">
        <v>144</v>
      </c>
      <c r="D63" s="141" t="s">
        <v>101</v>
      </c>
      <c r="E63" s="142">
        <v>32</v>
      </c>
      <c r="F63" s="124">
        <v>28893.1</v>
      </c>
      <c r="G63" s="173">
        <v>7.6</v>
      </c>
      <c r="H63" s="169">
        <v>510</v>
      </c>
      <c r="I63" s="208"/>
      <c r="J63" s="163">
        <f>H63*60.12/1000</f>
        <v>30.661199999999997</v>
      </c>
      <c r="K63" s="228"/>
      <c r="L63" s="228"/>
      <c r="M63" s="234">
        <f>259.2+194.78</f>
        <v>453.98</v>
      </c>
      <c r="N63" s="195">
        <f t="shared" si="1"/>
        <v>423.3188</v>
      </c>
      <c r="O63" s="14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2"/>
      <c r="AB63" s="20"/>
      <c r="AF63" s="1"/>
    </row>
    <row r="64" spans="2:32" ht="14.25" customHeight="1" thickBot="1">
      <c r="B64" s="120">
        <f t="shared" si="4"/>
        <v>59</v>
      </c>
      <c r="C64" s="59" t="s">
        <v>145</v>
      </c>
      <c r="D64" s="50" t="s">
        <v>101</v>
      </c>
      <c r="E64" s="54">
        <v>36</v>
      </c>
      <c r="F64" s="129">
        <v>14015.8</v>
      </c>
      <c r="G64" s="174">
        <v>7.6</v>
      </c>
      <c r="H64" s="170">
        <v>230</v>
      </c>
      <c r="I64" s="209"/>
      <c r="J64" s="163">
        <f>H64*60.12/1000</f>
        <v>13.827599999999999</v>
      </c>
      <c r="K64" s="228"/>
      <c r="L64" s="228"/>
      <c r="M64" s="192">
        <v>216.81</v>
      </c>
      <c r="N64" s="195">
        <f t="shared" si="1"/>
        <v>202.9824</v>
      </c>
      <c r="O64" s="14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2"/>
      <c r="AB64" s="20"/>
      <c r="AF64" s="1"/>
    </row>
    <row r="65" spans="2:14" ht="13.5" thickBot="1">
      <c r="B65" s="85"/>
      <c r="C65" s="10"/>
      <c r="D65" s="10"/>
      <c r="E65" s="8"/>
      <c r="F65" s="156">
        <f>SUM(F6:F64)</f>
        <v>599454.5</v>
      </c>
      <c r="G65" s="79"/>
      <c r="H65" s="9">
        <f aca="true" t="shared" si="7" ref="H65:N65">SUM(H6:H64)</f>
        <v>45188</v>
      </c>
      <c r="I65" s="56">
        <f t="shared" si="7"/>
        <v>2200.8307999999993</v>
      </c>
      <c r="J65" s="56">
        <f t="shared" si="7"/>
        <v>1013.5630799999997</v>
      </c>
      <c r="K65" s="56"/>
      <c r="L65" s="56"/>
      <c r="M65" s="9">
        <f t="shared" si="7"/>
        <v>11303.739999999998</v>
      </c>
      <c r="N65" s="56">
        <f t="shared" si="7"/>
        <v>8087.783000000001</v>
      </c>
    </row>
    <row r="66" ht="12.75">
      <c r="F66" s="67"/>
    </row>
  </sheetData>
  <sheetProtection/>
  <mergeCells count="2">
    <mergeCell ref="C2:N2"/>
    <mergeCell ref="H4:N4"/>
  </mergeCells>
  <printOptions/>
  <pageMargins left="0.16" right="0.11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Сычева, Марина</cp:lastModifiedBy>
  <cp:lastPrinted>2012-12-04T10:48:54Z</cp:lastPrinted>
  <dcterms:created xsi:type="dcterms:W3CDTF">2010-01-14T11:57:53Z</dcterms:created>
  <dcterms:modified xsi:type="dcterms:W3CDTF">2012-12-05T04:46:35Z</dcterms:modified>
  <cp:category/>
  <cp:version/>
  <cp:contentType/>
  <cp:contentStatus/>
</cp:coreProperties>
</file>