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firstSheet="1" activeTab="1"/>
  </bookViews>
  <sheets>
    <sheet name="Анализ-ГРЦ и Эсбыт" sheetId="1" r:id="rId1"/>
    <sheet name="Эсбыт" sheetId="2" r:id="rId2"/>
  </sheets>
  <definedNames/>
  <calcPr fullCalcOnLoad="1"/>
</workbook>
</file>

<file path=xl/sharedStrings.xml><?xml version="1.0" encoding="utf-8"?>
<sst xmlns="http://schemas.openxmlformats.org/spreadsheetml/2006/main" count="211" uniqueCount="97">
  <si>
    <t>27/16</t>
  </si>
  <si>
    <t>9/43</t>
  </si>
  <si>
    <t>37/06</t>
  </si>
  <si>
    <t>37/07</t>
  </si>
  <si>
    <t>37/08</t>
  </si>
  <si>
    <t>37/21</t>
  </si>
  <si>
    <t>37/22</t>
  </si>
  <si>
    <t>37/28</t>
  </si>
  <si>
    <t>37/29</t>
  </si>
  <si>
    <t>38/09А</t>
  </si>
  <si>
    <t>39/02А</t>
  </si>
  <si>
    <t>53/27 Б,В</t>
  </si>
  <si>
    <t>53/31</t>
  </si>
  <si>
    <t>53/42</t>
  </si>
  <si>
    <t>53/44</t>
  </si>
  <si>
    <t>58/12А</t>
  </si>
  <si>
    <t>59/04Бл.1А</t>
  </si>
  <si>
    <t>59/04Бл.2Б</t>
  </si>
  <si>
    <t>59/04Бл.3В</t>
  </si>
  <si>
    <t>60/03</t>
  </si>
  <si>
    <t>60/12</t>
  </si>
  <si>
    <t>60/13</t>
  </si>
  <si>
    <t>60/14</t>
  </si>
  <si>
    <t>60/15</t>
  </si>
  <si>
    <t>60/16</t>
  </si>
  <si>
    <t>62/06-1</t>
  </si>
  <si>
    <t>62/06-2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</si>
  <si>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</si>
  <si>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</si>
  <si>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</si>
  <si>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</si>
  <si>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</si>
  <si>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</si>
  <si>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</si>
  <si>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</si>
  <si>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</si>
  <si>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</si>
  <si>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</si>
  <si>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</si>
  <si>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№п/п</t>
  </si>
  <si>
    <t>За год</t>
  </si>
  <si>
    <t>№дома</t>
  </si>
  <si>
    <t xml:space="preserve">37/03 </t>
  </si>
  <si>
    <t xml:space="preserve"> м2</t>
  </si>
  <si>
    <t>S кв-р</t>
  </si>
  <si>
    <t>№</t>
  </si>
  <si>
    <t>П/П</t>
  </si>
  <si>
    <t>дома</t>
  </si>
  <si>
    <t>ГРЦ</t>
  </si>
  <si>
    <t>э/сбыт и ГРЦ</t>
  </si>
  <si>
    <t>13/02А бл.2</t>
  </si>
  <si>
    <t>36/7-1</t>
  </si>
  <si>
    <t>37/2</t>
  </si>
  <si>
    <t>13/02А бл.1</t>
  </si>
  <si>
    <t>36/6-2</t>
  </si>
  <si>
    <t>53/30</t>
  </si>
  <si>
    <t>36/5</t>
  </si>
  <si>
    <t>36/7-2</t>
  </si>
  <si>
    <t>36-2-1</t>
  </si>
  <si>
    <t>36-2-2</t>
  </si>
  <si>
    <t>37/1</t>
  </si>
  <si>
    <t>37/27</t>
  </si>
  <si>
    <t>36/6-1</t>
  </si>
  <si>
    <t>36-2-3</t>
  </si>
  <si>
    <t>36-3-2</t>
  </si>
  <si>
    <t>60/06</t>
  </si>
  <si>
    <t>9/42</t>
  </si>
  <si>
    <t>Итого</t>
  </si>
  <si>
    <t>Э/сбыт</t>
  </si>
  <si>
    <t>Разница м/у</t>
  </si>
  <si>
    <t>Январь</t>
  </si>
  <si>
    <t>36/1</t>
  </si>
  <si>
    <t>Оплата</t>
  </si>
  <si>
    <t>36-3-1</t>
  </si>
  <si>
    <t>35-9-2</t>
  </si>
  <si>
    <t>35-10</t>
  </si>
  <si>
    <t>35-10-1</t>
  </si>
  <si>
    <t>9/21</t>
  </si>
  <si>
    <t>9/22</t>
  </si>
  <si>
    <t>9/41</t>
  </si>
  <si>
    <t>53/32</t>
  </si>
  <si>
    <t>60/07</t>
  </si>
  <si>
    <t>60/08</t>
  </si>
  <si>
    <t>Отопление за  2012г.-общая</t>
  </si>
  <si>
    <t>35-6-3</t>
  </si>
  <si>
    <t>35-8-1</t>
  </si>
  <si>
    <t xml:space="preserve"> Январь</t>
  </si>
  <si>
    <t>36-4-3</t>
  </si>
  <si>
    <t>60/09</t>
  </si>
  <si>
    <t>18/22А</t>
  </si>
  <si>
    <t>48 мкрн</t>
  </si>
  <si>
    <t>50/19</t>
  </si>
  <si>
    <t>50/20</t>
  </si>
  <si>
    <t>Год</t>
  </si>
  <si>
    <t>Декабрь  31.12.</t>
  </si>
  <si>
    <t>Сравнительный анализ потребления холодного водоснабжения по  жилым домам за 2011-2012г.г.</t>
  </si>
  <si>
    <t>50/21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</si>
</sst>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sz val="10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4" borderId="0" xfId="0" applyFill="1" applyBorder="1" applyAlignment="1">
      <alignment/>
    </xf>
    <xf numFmtId="2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24" borderId="19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2" fontId="0" fillId="24" borderId="25" xfId="0" applyNumberFormat="1" applyFont="1" applyFill="1" applyBorder="1" applyAlignment="1">
      <alignment horizontal="center"/>
    </xf>
    <xf numFmtId="2" fontId="0" fillId="24" borderId="24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24" borderId="23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24" borderId="30" xfId="0" applyNumberFormat="1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25" borderId="20" xfId="0" applyFont="1" applyFill="1" applyBorder="1" applyAlignment="1">
      <alignment horizontal="center"/>
    </xf>
    <xf numFmtId="0" fontId="11" fillId="25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0" fillId="0" borderId="13" xfId="0" applyBorder="1" applyAlignment="1">
      <alignment horizontal="center"/>
    </xf>
    <xf numFmtId="2" fontId="0" fillId="24" borderId="38" xfId="0" applyNumberFormat="1" applyFont="1" applyFill="1" applyBorder="1" applyAlignment="1">
      <alignment horizontal="center"/>
    </xf>
    <xf numFmtId="2" fontId="0" fillId="24" borderId="39" xfId="0" applyNumberFormat="1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1" fillId="0" borderId="40" xfId="0" applyFont="1" applyBorder="1" applyAlignment="1">
      <alignment horizontal="right"/>
    </xf>
    <xf numFmtId="2" fontId="0" fillId="0" borderId="40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24" borderId="41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9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24" borderId="43" xfId="0" applyNumberFormat="1" applyFill="1" applyBorder="1" applyAlignment="1">
      <alignment horizontal="center"/>
    </xf>
    <xf numFmtId="2" fontId="0" fillId="24" borderId="44" xfId="0" applyNumberFormat="1" applyFill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1" fillId="26" borderId="23" xfId="0" applyNumberFormat="1" applyFont="1" applyFill="1" applyBorder="1" applyAlignment="1">
      <alignment horizontal="center"/>
    </xf>
    <xf numFmtId="2" fontId="31" fillId="26" borderId="19" xfId="0" applyNumberFormat="1" applyFont="1" applyFill="1" applyBorder="1" applyAlignment="1">
      <alignment horizontal="center"/>
    </xf>
    <xf numFmtId="2" fontId="31" fillId="26" borderId="17" xfId="0" applyNumberFormat="1" applyFont="1" applyFill="1" applyBorder="1" applyAlignment="1">
      <alignment horizontal="center"/>
    </xf>
    <xf numFmtId="2" fontId="31" fillId="26" borderId="40" xfId="0" applyNumberFormat="1" applyFont="1" applyFill="1" applyBorder="1" applyAlignment="1">
      <alignment horizontal="center"/>
    </xf>
    <xf numFmtId="0" fontId="31" fillId="26" borderId="30" xfId="0" applyFont="1" applyFill="1" applyBorder="1" applyAlignment="1">
      <alignment horizontal="center"/>
    </xf>
    <xf numFmtId="2" fontId="31" fillId="26" borderId="24" xfId="0" applyNumberFormat="1" applyFont="1" applyFill="1" applyBorder="1" applyAlignment="1">
      <alignment horizontal="center"/>
    </xf>
    <xf numFmtId="0" fontId="31" fillId="26" borderId="33" xfId="0" applyFont="1" applyFill="1" applyBorder="1" applyAlignment="1">
      <alignment horizontal="center"/>
    </xf>
    <xf numFmtId="0" fontId="31" fillId="26" borderId="23" xfId="0" applyFont="1" applyFill="1" applyBorder="1" applyAlignment="1">
      <alignment horizontal="center"/>
    </xf>
    <xf numFmtId="0" fontId="30" fillId="26" borderId="19" xfId="0" applyFont="1" applyFill="1" applyBorder="1" applyAlignment="1">
      <alignment horizontal="right"/>
    </xf>
    <xf numFmtId="2" fontId="31" fillId="26" borderId="20" xfId="0" applyNumberFormat="1" applyFont="1" applyFill="1" applyBorder="1" applyAlignment="1">
      <alignment/>
    </xf>
    <xf numFmtId="2" fontId="31" fillId="26" borderId="19" xfId="0" applyNumberFormat="1" applyFont="1" applyFill="1" applyBorder="1" applyAlignment="1">
      <alignment/>
    </xf>
    <xf numFmtId="2" fontId="0" fillId="26" borderId="23" xfId="0" applyNumberFormat="1" applyFont="1" applyFill="1" applyBorder="1" applyAlignment="1">
      <alignment horizontal="center"/>
    </xf>
    <xf numFmtId="2" fontId="0" fillId="24" borderId="17" xfId="0" applyNumberFormat="1" applyFont="1" applyFill="1" applyBorder="1" applyAlignment="1">
      <alignment horizontal="center"/>
    </xf>
    <xf numFmtId="2" fontId="0" fillId="24" borderId="40" xfId="0" applyNumberFormat="1" applyFont="1" applyFill="1" applyBorder="1" applyAlignment="1">
      <alignment horizontal="center"/>
    </xf>
    <xf numFmtId="2" fontId="0" fillId="24" borderId="20" xfId="0" applyNumberFormat="1" applyFont="1" applyFill="1" applyBorder="1" applyAlignment="1">
      <alignment/>
    </xf>
    <xf numFmtId="2" fontId="0" fillId="24" borderId="19" xfId="0" applyNumberFormat="1" applyFont="1" applyFill="1" applyBorder="1" applyAlignment="1">
      <alignment/>
    </xf>
    <xf numFmtId="0" fontId="0" fillId="24" borderId="41" xfId="0" applyFill="1" applyBorder="1" applyAlignment="1">
      <alignment horizontal="center"/>
    </xf>
    <xf numFmtId="2" fontId="0" fillId="17" borderId="19" xfId="0" applyNumberFormat="1" applyFont="1" applyFill="1" applyBorder="1" applyAlignment="1">
      <alignment horizontal="center"/>
    </xf>
    <xf numFmtId="2" fontId="0" fillId="17" borderId="17" xfId="0" applyNumberFormat="1" applyFont="1" applyFill="1" applyBorder="1" applyAlignment="1">
      <alignment horizontal="center"/>
    </xf>
    <xf numFmtId="2" fontId="0" fillId="17" borderId="40" xfId="0" applyNumberFormat="1" applyFont="1" applyFill="1" applyBorder="1" applyAlignment="1">
      <alignment horizontal="center"/>
    </xf>
    <xf numFmtId="2" fontId="0" fillId="17" borderId="19" xfId="0" applyNumberFormat="1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17" borderId="23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2" fontId="0" fillId="17" borderId="24" xfId="0" applyNumberFormat="1" applyFont="1" applyFill="1" applyBorder="1" applyAlignment="1">
      <alignment horizontal="center"/>
    </xf>
    <xf numFmtId="0" fontId="11" fillId="17" borderId="19" xfId="0" applyFont="1" applyFill="1" applyBorder="1" applyAlignment="1">
      <alignment horizontal="right"/>
    </xf>
    <xf numFmtId="2" fontId="0" fillId="17" borderId="20" xfId="0" applyNumberFormat="1" applyFont="1" applyFill="1" applyBorder="1" applyAlignment="1">
      <alignment/>
    </xf>
    <xf numFmtId="2" fontId="0" fillId="17" borderId="19" xfId="0" applyNumberFormat="1" applyFont="1" applyFill="1" applyBorder="1" applyAlignment="1">
      <alignment/>
    </xf>
    <xf numFmtId="2" fontId="0" fillId="17" borderId="23" xfId="0" applyNumberFormat="1" applyFont="1" applyFill="1" applyBorder="1" applyAlignment="1">
      <alignment horizontal="center"/>
    </xf>
    <xf numFmtId="2" fontId="31" fillId="17" borderId="23" xfId="0" applyNumberFormat="1" applyFont="1" applyFill="1" applyBorder="1" applyAlignment="1">
      <alignment horizontal="center"/>
    </xf>
    <xf numFmtId="2" fontId="31" fillId="17" borderId="19" xfId="0" applyNumberFormat="1" applyFont="1" applyFill="1" applyBorder="1" applyAlignment="1">
      <alignment horizontal="center"/>
    </xf>
    <xf numFmtId="2" fontId="31" fillId="17" borderId="17" xfId="0" applyNumberFormat="1" applyFont="1" applyFill="1" applyBorder="1" applyAlignment="1">
      <alignment horizontal="center"/>
    </xf>
    <xf numFmtId="2" fontId="31" fillId="17" borderId="40" xfId="0" applyNumberFormat="1" applyFont="1" applyFill="1" applyBorder="1" applyAlignment="1">
      <alignment horizontal="center"/>
    </xf>
    <xf numFmtId="2" fontId="31" fillId="17" borderId="24" xfId="0" applyNumberFormat="1" applyFont="1" applyFill="1" applyBorder="1" applyAlignment="1">
      <alignment horizontal="center"/>
    </xf>
    <xf numFmtId="0" fontId="31" fillId="17" borderId="33" xfId="0" applyFont="1" applyFill="1" applyBorder="1" applyAlignment="1">
      <alignment horizontal="center"/>
    </xf>
    <xf numFmtId="0" fontId="31" fillId="17" borderId="30" xfId="0" applyFont="1" applyFill="1" applyBorder="1" applyAlignment="1">
      <alignment horizontal="center"/>
    </xf>
    <xf numFmtId="0" fontId="31" fillId="17" borderId="23" xfId="0" applyFont="1" applyFill="1" applyBorder="1" applyAlignment="1">
      <alignment horizontal="center"/>
    </xf>
    <xf numFmtId="0" fontId="30" fillId="17" borderId="19" xfId="0" applyFont="1" applyFill="1" applyBorder="1" applyAlignment="1">
      <alignment horizontal="right"/>
    </xf>
    <xf numFmtId="2" fontId="31" fillId="17" borderId="20" xfId="0" applyNumberFormat="1" applyFont="1" applyFill="1" applyBorder="1" applyAlignment="1">
      <alignment/>
    </xf>
    <xf numFmtId="2" fontId="31" fillId="17" borderId="19" xfId="0" applyNumberFormat="1" applyFont="1" applyFill="1" applyBorder="1" applyAlignment="1">
      <alignment/>
    </xf>
    <xf numFmtId="2" fontId="0" fillId="24" borderId="19" xfId="0" applyNumberFormat="1" applyFont="1" applyFill="1" applyBorder="1" applyAlignment="1">
      <alignment horizontal="center"/>
    </xf>
    <xf numFmtId="0" fontId="11" fillId="24" borderId="33" xfId="0" applyFont="1" applyFill="1" applyBorder="1" applyAlignment="1">
      <alignment horizontal="right"/>
    </xf>
    <xf numFmtId="2" fontId="0" fillId="24" borderId="40" xfId="0" applyNumberFormat="1" applyFont="1" applyFill="1" applyBorder="1" applyAlignment="1">
      <alignment/>
    </xf>
    <xf numFmtId="2" fontId="0" fillId="26" borderId="19" xfId="0" applyNumberFormat="1" applyFont="1" applyFill="1" applyBorder="1" applyAlignment="1">
      <alignment horizontal="center"/>
    </xf>
    <xf numFmtId="0" fontId="11" fillId="25" borderId="35" xfId="0" applyFont="1" applyFill="1" applyBorder="1" applyAlignment="1">
      <alignment horizontal="right"/>
    </xf>
    <xf numFmtId="0" fontId="11" fillId="25" borderId="20" xfId="0" applyFont="1" applyFill="1" applyBorder="1" applyAlignment="1">
      <alignment horizontal="right"/>
    </xf>
    <xf numFmtId="0" fontId="11" fillId="25" borderId="20" xfId="0" applyNumberFormat="1" applyFont="1" applyFill="1" applyBorder="1" applyAlignment="1">
      <alignment horizontal="right"/>
    </xf>
    <xf numFmtId="0" fontId="11" fillId="25" borderId="20" xfId="0" applyFont="1" applyFill="1" applyBorder="1" applyAlignment="1">
      <alignment/>
    </xf>
    <xf numFmtId="0" fontId="30" fillId="25" borderId="20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11" fillId="25" borderId="37" xfId="0" applyFont="1" applyFill="1" applyBorder="1" applyAlignment="1">
      <alignment/>
    </xf>
    <xf numFmtId="0" fontId="32" fillId="0" borderId="47" xfId="0" applyNumberFormat="1" applyFont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2" fontId="31" fillId="24" borderId="23" xfId="0" applyNumberFormat="1" applyFont="1" applyFill="1" applyBorder="1" applyAlignment="1">
      <alignment horizontal="center"/>
    </xf>
    <xf numFmtId="2" fontId="31" fillId="24" borderId="19" xfId="0" applyNumberFormat="1" applyFont="1" applyFill="1" applyBorder="1" applyAlignment="1">
      <alignment horizontal="center"/>
    </xf>
    <xf numFmtId="2" fontId="31" fillId="24" borderId="17" xfId="0" applyNumberFormat="1" applyFont="1" applyFill="1" applyBorder="1" applyAlignment="1">
      <alignment horizontal="center"/>
    </xf>
    <xf numFmtId="2" fontId="31" fillId="24" borderId="40" xfId="0" applyNumberFormat="1" applyFont="1" applyFill="1" applyBorder="1" applyAlignment="1">
      <alignment horizontal="center"/>
    </xf>
    <xf numFmtId="2" fontId="31" fillId="24" borderId="24" xfId="0" applyNumberFormat="1" applyFont="1" applyFill="1" applyBorder="1" applyAlignment="1">
      <alignment horizontal="center"/>
    </xf>
    <xf numFmtId="0" fontId="31" fillId="24" borderId="33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right"/>
    </xf>
    <xf numFmtId="2" fontId="31" fillId="24" borderId="20" xfId="0" applyNumberFormat="1" applyFont="1" applyFill="1" applyBorder="1" applyAlignment="1">
      <alignment/>
    </xf>
    <xf numFmtId="2" fontId="31" fillId="24" borderId="19" xfId="0" applyNumberFormat="1" applyFont="1" applyFill="1" applyBorder="1" applyAlignment="1">
      <alignment/>
    </xf>
    <xf numFmtId="2" fontId="0" fillId="0" borderId="47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24" borderId="45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right"/>
    </xf>
    <xf numFmtId="0" fontId="11" fillId="24" borderId="40" xfId="0" applyFont="1" applyFill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17" borderId="41" xfId="0" applyFont="1" applyFill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17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31" fillId="26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1" fillId="17" borderId="20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25" borderId="13" xfId="0" applyFont="1" applyFill="1" applyBorder="1" applyAlignment="1">
      <alignment horizontal="right"/>
    </xf>
    <xf numFmtId="0" fontId="0" fillId="24" borderId="48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17" borderId="40" xfId="0" applyNumberFormat="1" applyFont="1" applyFill="1" applyBorder="1" applyAlignment="1">
      <alignment horizontal="center"/>
    </xf>
    <xf numFmtId="2" fontId="0" fillId="24" borderId="40" xfId="0" applyNumberFormat="1" applyFont="1" applyFill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17" borderId="23" xfId="0" applyNumberFormat="1" applyFont="1" applyFill="1" applyBorder="1" applyAlignment="1">
      <alignment horizontal="center"/>
    </xf>
    <xf numFmtId="2" fontId="0" fillId="24" borderId="23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24" borderId="53" xfId="0" applyNumberFormat="1" applyFont="1" applyFill="1" applyBorder="1" applyAlignment="1">
      <alignment horizontal="center"/>
    </xf>
    <xf numFmtId="2" fontId="0" fillId="24" borderId="52" xfId="0" applyNumberFormat="1" applyFont="1" applyFill="1" applyBorder="1" applyAlignment="1">
      <alignment horizontal="center"/>
    </xf>
    <xf numFmtId="0" fontId="0" fillId="24" borderId="52" xfId="0" applyFont="1" applyFill="1" applyBorder="1" applyAlignment="1">
      <alignment horizontal="center"/>
    </xf>
    <xf numFmtId="2" fontId="31" fillId="24" borderId="30" xfId="0" applyNumberFormat="1" applyFont="1" applyFill="1" applyBorder="1" applyAlignment="1">
      <alignment horizontal="center"/>
    </xf>
    <xf numFmtId="2" fontId="31" fillId="24" borderId="33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wrapText="1"/>
    </xf>
    <xf numFmtId="0" fontId="0" fillId="0" borderId="10" xfId="0" applyBorder="1" applyAlignment="1">
      <alignment wrapText="1"/>
    </xf>
    <xf numFmtId="0" fontId="0" fillId="24" borderId="41" xfId="0" applyFont="1" applyFill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2" fontId="12" fillId="24" borderId="44" xfId="0" applyNumberFormat="1" applyFont="1" applyFill="1" applyBorder="1" applyAlignment="1">
      <alignment horizontal="center"/>
    </xf>
    <xf numFmtId="2" fontId="0" fillId="24" borderId="41" xfId="0" applyNumberFormat="1" applyFont="1" applyFill="1" applyBorder="1" applyAlignment="1">
      <alignment horizontal="center"/>
    </xf>
    <xf numFmtId="2" fontId="11" fillId="24" borderId="41" xfId="0" applyNumberFormat="1" applyFont="1" applyFill="1" applyBorder="1" applyAlignment="1">
      <alignment horizontal="center"/>
    </xf>
    <xf numFmtId="2" fontId="11" fillId="24" borderId="44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0" fillId="24" borderId="42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2" fontId="12" fillId="24" borderId="43" xfId="0" applyNumberFormat="1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4" xfId="0" applyNumberFormat="1" applyFont="1" applyFill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24" borderId="14" xfId="0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24" borderId="30" xfId="0" applyNumberFormat="1" applyFill="1" applyBorder="1" applyAlignment="1">
      <alignment horizontal="center"/>
    </xf>
    <xf numFmtId="2" fontId="0" fillId="24" borderId="30" xfId="0" applyNumberFormat="1" applyFont="1" applyFill="1" applyBorder="1" applyAlignment="1">
      <alignment horizontal="center"/>
    </xf>
    <xf numFmtId="2" fontId="11" fillId="24" borderId="30" xfId="0" applyNumberFormat="1" applyFont="1" applyFill="1" applyBorder="1" applyAlignment="1">
      <alignment horizontal="center"/>
    </xf>
    <xf numFmtId="2" fontId="11" fillId="24" borderId="31" xfId="0" applyNumberFormat="1" applyFont="1" applyFill="1" applyBorder="1" applyAlignment="1">
      <alignment horizontal="center"/>
    </xf>
    <xf numFmtId="2" fontId="11" fillId="24" borderId="56" xfId="0" applyNumberFormat="1" applyFont="1" applyFill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2" fontId="12" fillId="24" borderId="41" xfId="0" applyNumberFormat="1" applyFont="1" applyFill="1" applyBorder="1" applyAlignment="1">
      <alignment horizontal="center"/>
    </xf>
    <xf numFmtId="2" fontId="0" fillId="24" borderId="30" xfId="0" applyNumberFormat="1" applyFill="1" applyBorder="1" applyAlignment="1">
      <alignment horizontal="center"/>
    </xf>
    <xf numFmtId="1" fontId="31" fillId="0" borderId="30" xfId="0" applyNumberFormat="1" applyFont="1" applyBorder="1" applyAlignment="1">
      <alignment horizontal="center"/>
    </xf>
    <xf numFmtId="2" fontId="0" fillId="24" borderId="31" xfId="0" applyNumberFormat="1" applyFill="1" applyBorder="1" applyAlignment="1">
      <alignment horizontal="center"/>
    </xf>
    <xf numFmtId="2" fontId="0" fillId="24" borderId="56" xfId="0" applyNumberFormat="1" applyFill="1" applyBorder="1" applyAlignment="1">
      <alignment horizontal="center"/>
    </xf>
    <xf numFmtId="1" fontId="0" fillId="24" borderId="31" xfId="0" applyNumberFormat="1" applyFill="1" applyBorder="1" applyAlignment="1">
      <alignment horizontal="center"/>
    </xf>
    <xf numFmtId="1" fontId="0" fillId="24" borderId="56" xfId="0" applyNumberFormat="1" applyFill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1" fontId="0" fillId="24" borderId="33" xfId="0" applyNumberFormat="1" applyFill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0" borderId="10" xfId="0" applyBorder="1" applyAlignment="1">
      <alignment/>
    </xf>
    <xf numFmtId="1" fontId="6" fillId="0" borderId="43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18" xfId="53" applyFont="1" applyFill="1" applyBorder="1" applyAlignment="1">
      <alignment horizontal="center"/>
      <protection/>
    </xf>
    <xf numFmtId="0" fontId="0" fillId="24" borderId="20" xfId="53" applyFont="1" applyFill="1" applyBorder="1" applyAlignment="1">
      <alignment horizontal="center"/>
      <protection/>
    </xf>
    <xf numFmtId="0" fontId="0" fillId="24" borderId="37" xfId="53" applyFont="1" applyFill="1" applyBorder="1" applyAlignment="1">
      <alignment horizontal="center"/>
      <protection/>
    </xf>
    <xf numFmtId="0" fontId="0" fillId="24" borderId="62" xfId="53" applyFont="1" applyFill="1" applyBorder="1" applyAlignment="1">
      <alignment horizontal="center"/>
      <protection/>
    </xf>
    <xf numFmtId="0" fontId="0" fillId="24" borderId="35" xfId="53" applyFont="1" applyFill="1" applyBorder="1" applyAlignment="1">
      <alignment horizontal="center"/>
      <protection/>
    </xf>
    <xf numFmtId="0" fontId="31" fillId="24" borderId="20" xfId="53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0" fontId="8" fillId="0" borderId="0" xfId="0" applyFont="1" applyAlignment="1">
      <alignment/>
    </xf>
    <xf numFmtId="1" fontId="6" fillId="0" borderId="44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2" fontId="0" fillId="24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2" fontId="0" fillId="24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10.375" style="0" customWidth="1"/>
    <col min="4" max="4" width="6.875" style="0" customWidth="1"/>
    <col min="5" max="5" width="7.25390625" style="0" customWidth="1"/>
    <col min="6" max="6" width="7.375" style="0" customWidth="1"/>
    <col min="7" max="7" width="8.00390625" style="0" customWidth="1"/>
    <col min="8" max="8" width="8.875" style="0" customWidth="1"/>
    <col min="9" max="9" width="7.75390625" style="0" customWidth="1"/>
    <col min="10" max="10" width="8.375" style="0" customWidth="1"/>
    <col min="11" max="11" width="7.75390625" style="0" customWidth="1"/>
    <col min="12" max="12" width="7.25390625" style="0" customWidth="1"/>
    <col min="13" max="13" width="7.375" style="0" customWidth="1"/>
    <col min="14" max="14" width="7.25390625" style="0" customWidth="1"/>
    <col min="15" max="15" width="7.75390625" style="0" customWidth="1"/>
    <col min="16" max="16" width="6.75390625" style="0" customWidth="1"/>
    <col min="17" max="17" width="7.375" style="0" customWidth="1"/>
    <col min="18" max="18" width="6.375" style="0" customWidth="1"/>
    <col min="19" max="28" width="9.00390625" style="0" customWidth="1"/>
    <col min="29" max="29" width="8.375" style="0" customWidth="1"/>
    <col min="30" max="30" width="8.75390625" style="0" customWidth="1"/>
    <col min="31" max="31" width="10.375" style="0" customWidth="1"/>
    <col min="33" max="33" width="10.375" style="0" customWidth="1"/>
    <col min="34" max="36" width="10.00390625" style="0" customWidth="1"/>
    <col min="37" max="37" width="11.375" style="0" customWidth="1"/>
    <col min="38" max="38" width="10.625" style="0" customWidth="1"/>
    <col min="39" max="39" width="12.00390625" style="0" customWidth="1"/>
    <col min="40" max="40" width="11.875" style="0" customWidth="1"/>
    <col min="42" max="42" width="10.25390625" style="0" customWidth="1"/>
  </cols>
  <sheetData>
    <row r="3" spans="3:37" ht="18">
      <c r="C3" s="18" t="s">
        <v>83</v>
      </c>
      <c r="D3" s="19"/>
      <c r="E3" s="19"/>
      <c r="F3" s="19"/>
      <c r="G3" s="19"/>
      <c r="H3" s="19"/>
      <c r="I3" s="19"/>
      <c r="J3" s="19"/>
      <c r="K3" s="19"/>
      <c r="L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"/>
      <c r="AI3" s="1"/>
      <c r="AJ3" s="1"/>
      <c r="AK3" s="1"/>
    </row>
    <row r="4" spans="3:37" ht="16.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8" ht="16.5" thickBot="1">
      <c r="B5" s="9" t="s">
        <v>45</v>
      </c>
      <c r="C5" s="10" t="s">
        <v>45</v>
      </c>
      <c r="D5" s="10" t="s">
        <v>44</v>
      </c>
      <c r="E5" s="317" t="s">
        <v>86</v>
      </c>
      <c r="F5" s="318"/>
      <c r="G5" s="317" t="s">
        <v>27</v>
      </c>
      <c r="H5" s="318"/>
      <c r="I5" s="317" t="s">
        <v>28</v>
      </c>
      <c r="J5" s="318"/>
      <c r="K5" s="317" t="s">
        <v>29</v>
      </c>
      <c r="L5" s="318"/>
      <c r="M5" s="317" t="s">
        <v>30</v>
      </c>
      <c r="N5" s="318"/>
      <c r="O5" s="319" t="s">
        <v>31</v>
      </c>
      <c r="P5" s="320"/>
      <c r="Q5" s="319" t="s">
        <v>32</v>
      </c>
      <c r="R5" s="320"/>
      <c r="S5" s="317" t="s">
        <v>33</v>
      </c>
      <c r="T5" s="318"/>
      <c r="U5" s="317" t="s">
        <v>34</v>
      </c>
      <c r="V5" s="318"/>
      <c r="W5" s="317" t="s">
        <v>35</v>
      </c>
      <c r="X5" s="318"/>
      <c r="Y5" s="317" t="s">
        <v>36</v>
      </c>
      <c r="Z5" s="318"/>
      <c r="AA5" s="317" t="s">
        <v>37</v>
      </c>
      <c r="AB5" s="318"/>
      <c r="AC5" s="3" t="s">
        <v>40</v>
      </c>
      <c r="AD5" s="3" t="s">
        <v>40</v>
      </c>
      <c r="AE5" s="8" t="s">
        <v>69</v>
      </c>
      <c r="AF5" s="1"/>
      <c r="AG5" s="2"/>
      <c r="AH5" s="1"/>
      <c r="AI5" s="1"/>
      <c r="AJ5" s="1"/>
      <c r="AK5" s="1"/>
      <c r="AL5" s="1"/>
    </row>
    <row r="6" spans="2:38" ht="13.5" thickBot="1">
      <c r="B6" s="26" t="s">
        <v>46</v>
      </c>
      <c r="C6" s="40" t="s">
        <v>47</v>
      </c>
      <c r="D6" s="34" t="s">
        <v>43</v>
      </c>
      <c r="E6" s="200" t="s">
        <v>72</v>
      </c>
      <c r="F6" s="193" t="s">
        <v>68</v>
      </c>
      <c r="G6" s="200" t="s">
        <v>72</v>
      </c>
      <c r="H6" s="34" t="s">
        <v>68</v>
      </c>
      <c r="I6" s="200" t="s">
        <v>72</v>
      </c>
      <c r="J6" s="10" t="s">
        <v>68</v>
      </c>
      <c r="K6" s="200" t="s">
        <v>72</v>
      </c>
      <c r="L6" s="27" t="s">
        <v>68</v>
      </c>
      <c r="M6" s="213" t="s">
        <v>48</v>
      </c>
      <c r="N6" s="10" t="s">
        <v>68</v>
      </c>
      <c r="O6" s="200" t="s">
        <v>48</v>
      </c>
      <c r="P6" s="193" t="s">
        <v>68</v>
      </c>
      <c r="Q6" s="213" t="s">
        <v>48</v>
      </c>
      <c r="R6" s="10" t="s">
        <v>68</v>
      </c>
      <c r="S6" s="34" t="s">
        <v>48</v>
      </c>
      <c r="T6" s="9" t="s">
        <v>68</v>
      </c>
      <c r="U6" s="34" t="s">
        <v>48</v>
      </c>
      <c r="V6" s="9" t="s">
        <v>68</v>
      </c>
      <c r="W6" s="40" t="s">
        <v>48</v>
      </c>
      <c r="X6" s="34" t="s">
        <v>68</v>
      </c>
      <c r="Y6" s="26" t="s">
        <v>48</v>
      </c>
      <c r="Z6" s="11" t="s">
        <v>68</v>
      </c>
      <c r="AA6" s="26" t="s">
        <v>48</v>
      </c>
      <c r="AB6" s="11" t="s">
        <v>68</v>
      </c>
      <c r="AC6" s="76" t="s">
        <v>72</v>
      </c>
      <c r="AD6" s="17" t="s">
        <v>68</v>
      </c>
      <c r="AE6" s="17" t="s">
        <v>49</v>
      </c>
      <c r="AF6" s="6"/>
      <c r="AG6" s="6"/>
      <c r="AH6" s="7"/>
      <c r="AI6" s="7"/>
      <c r="AJ6" s="7"/>
      <c r="AK6" s="7"/>
      <c r="AL6" s="7"/>
    </row>
    <row r="7" spans="2:38" ht="12.75">
      <c r="B7" s="180">
        <v>1</v>
      </c>
      <c r="C7" s="182" t="s">
        <v>77</v>
      </c>
      <c r="D7" s="149">
        <v>6457.6</v>
      </c>
      <c r="E7" s="201" t="e">
        <f>#REF!</f>
        <v>#REF!</v>
      </c>
      <c r="F7" s="194">
        <f>Эсбыт!D6</f>
        <v>918</v>
      </c>
      <c r="G7" s="208" t="e">
        <f>#REF!</f>
        <v>#REF!</v>
      </c>
      <c r="H7" s="207">
        <f>Эсбыт!F6</f>
        <v>1504</v>
      </c>
      <c r="I7" s="201" t="e">
        <f>#REF!</f>
        <v>#REF!</v>
      </c>
      <c r="J7" s="209">
        <f>Эсбыт!H6</f>
        <v>930</v>
      </c>
      <c r="K7" s="210" t="e">
        <f>#REF!</f>
        <v>#REF!</v>
      </c>
      <c r="L7" s="100">
        <f>Эсбыт!J6</f>
        <v>1331</v>
      </c>
      <c r="M7" s="214" t="e">
        <f>#REF!</f>
        <v>#REF!</v>
      </c>
      <c r="N7" s="212">
        <f>Эсбыт!L6</f>
        <v>1025</v>
      </c>
      <c r="O7" s="210" t="e">
        <f>#REF!</f>
        <v>#REF!</v>
      </c>
      <c r="P7" s="100">
        <f>Эсбыт!N6</f>
        <v>1163</v>
      </c>
      <c r="Q7" s="214" t="e">
        <f>#REF!</f>
        <v>#REF!</v>
      </c>
      <c r="R7" s="212">
        <f>Эсбыт!P6</f>
        <v>1255</v>
      </c>
      <c r="S7" s="210" t="e">
        <f>#REF!</f>
        <v>#REF!</v>
      </c>
      <c r="T7" s="212">
        <f>Эсбыт!R6</f>
        <v>1210</v>
      </c>
      <c r="U7" s="53"/>
      <c r="V7" s="59"/>
      <c r="W7" s="52"/>
      <c r="X7" s="65"/>
      <c r="Y7" s="53"/>
      <c r="Z7" s="42"/>
      <c r="AA7" s="53"/>
      <c r="AB7" s="42"/>
      <c r="AC7" s="29" t="e">
        <f aca="true" t="shared" si="0" ref="AC7:AD11">AA7+Y7+W7+U7+S7+Q7+O7+M7+K7+I7+G7+E7</f>
        <v>#REF!</v>
      </c>
      <c r="AD7" s="30">
        <f t="shared" si="0"/>
        <v>9336</v>
      </c>
      <c r="AE7" s="71" t="e">
        <f>AD7-AC7</f>
        <v>#REF!</v>
      </c>
      <c r="AF7" s="6"/>
      <c r="AG7" s="6"/>
      <c r="AH7" s="7"/>
      <c r="AI7" s="7"/>
      <c r="AJ7" s="7"/>
      <c r="AK7" s="7"/>
      <c r="AL7" s="7"/>
    </row>
    <row r="8" spans="2:38" ht="12.75">
      <c r="B8" s="179">
        <f>B7+1</f>
        <v>2</v>
      </c>
      <c r="C8" s="183" t="s">
        <v>78</v>
      </c>
      <c r="D8" s="150">
        <v>12688.5</v>
      </c>
      <c r="E8" s="202" t="e">
        <f>#REF!</f>
        <v>#REF!</v>
      </c>
      <c r="F8" s="195">
        <f>Эсбыт!D7</f>
        <v>2024</v>
      </c>
      <c r="G8" s="202" t="e">
        <f>#REF!</f>
        <v>#REF!</v>
      </c>
      <c r="H8" s="195">
        <f>Эсбыт!F7</f>
        <v>2199</v>
      </c>
      <c r="I8" s="202" t="e">
        <f>#REF!</f>
        <v>#REF!</v>
      </c>
      <c r="J8" s="86">
        <f>Эсбыт!H7</f>
        <v>1381</v>
      </c>
      <c r="K8" s="54" t="e">
        <f>#REF!</f>
        <v>#REF!</v>
      </c>
      <c r="L8" s="94">
        <f>Эсбыт!J7</f>
        <v>2097</v>
      </c>
      <c r="M8" s="215" t="e">
        <f>#REF!</f>
        <v>#REF!</v>
      </c>
      <c r="N8" s="93">
        <f>Эсбыт!L7</f>
        <v>1882</v>
      </c>
      <c r="O8" s="54" t="e">
        <f>#REF!</f>
        <v>#REF!</v>
      </c>
      <c r="P8" s="96">
        <f>Эсбыт!N7</f>
        <v>1896</v>
      </c>
      <c r="Q8" s="215" t="e">
        <f>#REF!</f>
        <v>#REF!</v>
      </c>
      <c r="R8" s="93">
        <f>Эсбыт!P7</f>
        <v>1785</v>
      </c>
      <c r="S8" s="54" t="e">
        <f>#REF!</f>
        <v>#REF!</v>
      </c>
      <c r="T8" s="93">
        <f>Эсбыт!R7</f>
        <v>1888</v>
      </c>
      <c r="U8" s="47"/>
      <c r="V8" s="60"/>
      <c r="W8" s="48"/>
      <c r="X8" s="66"/>
      <c r="Y8" s="47"/>
      <c r="Z8" s="43"/>
      <c r="AA8" s="47"/>
      <c r="AB8" s="43"/>
      <c r="AC8" s="31" t="e">
        <f t="shared" si="0"/>
        <v>#REF!</v>
      </c>
      <c r="AD8" s="30">
        <f t="shared" si="0"/>
        <v>15152</v>
      </c>
      <c r="AE8" s="46" t="e">
        <f>AD8-AC8</f>
        <v>#REF!</v>
      </c>
      <c r="AF8" s="6"/>
      <c r="AG8" s="6"/>
      <c r="AH8" s="7"/>
      <c r="AI8" s="7"/>
      <c r="AJ8" s="7"/>
      <c r="AK8" s="7"/>
      <c r="AL8" s="7"/>
    </row>
    <row r="9" spans="2:38" ht="12.75">
      <c r="B9" s="179">
        <f aca="true" t="shared" si="1" ref="B9:B68">B8+1</f>
        <v>3</v>
      </c>
      <c r="C9" s="183" t="s">
        <v>79</v>
      </c>
      <c r="D9" s="150">
        <v>11181.7</v>
      </c>
      <c r="E9" s="202" t="e">
        <f>#REF!</f>
        <v>#REF!</v>
      </c>
      <c r="F9" s="195">
        <f>Эсбыт!D8</f>
        <v>1699</v>
      </c>
      <c r="G9" s="202" t="e">
        <f>#REF!</f>
        <v>#REF!</v>
      </c>
      <c r="H9" s="195">
        <f>Эсбыт!F8</f>
        <v>1339</v>
      </c>
      <c r="I9" s="202" t="e">
        <f>#REF!</f>
        <v>#REF!</v>
      </c>
      <c r="J9" s="86">
        <f>Эсбыт!H8</f>
        <v>1054</v>
      </c>
      <c r="K9" s="54" t="e">
        <f>#REF!</f>
        <v>#REF!</v>
      </c>
      <c r="L9" s="94">
        <f>Эсбыт!J8</f>
        <v>1211</v>
      </c>
      <c r="M9" s="215" t="e">
        <f>#REF!</f>
        <v>#REF!</v>
      </c>
      <c r="N9" s="93">
        <f>Эсбыт!L8</f>
        <v>1067</v>
      </c>
      <c r="O9" s="54" t="e">
        <f>#REF!</f>
        <v>#REF!</v>
      </c>
      <c r="P9" s="96">
        <f>Эсбыт!N8</f>
        <v>1244</v>
      </c>
      <c r="Q9" s="215" t="e">
        <f>#REF!</f>
        <v>#REF!</v>
      </c>
      <c r="R9" s="93">
        <f>Эсбыт!P8</f>
        <v>1164</v>
      </c>
      <c r="S9" s="54" t="e">
        <f>#REF!</f>
        <v>#REF!</v>
      </c>
      <c r="T9" s="93">
        <f>Эсбыт!R8</f>
        <v>1373</v>
      </c>
      <c r="U9" s="47"/>
      <c r="V9" s="60"/>
      <c r="W9" s="48"/>
      <c r="X9" s="66"/>
      <c r="Y9" s="47"/>
      <c r="Z9" s="43"/>
      <c r="AA9" s="47"/>
      <c r="AB9" s="43"/>
      <c r="AC9" s="31" t="e">
        <f t="shared" si="0"/>
        <v>#REF!</v>
      </c>
      <c r="AD9" s="30">
        <f t="shared" si="0"/>
        <v>10151</v>
      </c>
      <c r="AE9" s="46" t="e">
        <f>AD9-AC9</f>
        <v>#REF!</v>
      </c>
      <c r="AF9" s="6"/>
      <c r="AG9" s="6"/>
      <c r="AH9" s="7"/>
      <c r="AI9" s="7"/>
      <c r="AJ9" s="7"/>
      <c r="AK9" s="7"/>
      <c r="AL9" s="7"/>
    </row>
    <row r="10" spans="2:38" ht="12.75">
      <c r="B10" s="179">
        <f t="shared" si="1"/>
        <v>4</v>
      </c>
      <c r="C10" s="183" t="s">
        <v>66</v>
      </c>
      <c r="D10" s="151">
        <v>10509.4</v>
      </c>
      <c r="E10" s="202" t="e">
        <f>#REF!</f>
        <v>#REF!</v>
      </c>
      <c r="F10" s="195">
        <f>Эсбыт!D9</f>
        <v>1483</v>
      </c>
      <c r="G10" s="202" t="e">
        <f>#REF!</f>
        <v>#REF!</v>
      </c>
      <c r="H10" s="195">
        <f>Эсбыт!F9</f>
        <v>2478</v>
      </c>
      <c r="I10" s="202" t="e">
        <f>#REF!</f>
        <v>#REF!</v>
      </c>
      <c r="J10" s="86">
        <f>Эсбыт!H9</f>
        <v>1558</v>
      </c>
      <c r="K10" s="54" t="e">
        <f>#REF!</f>
        <v>#REF!</v>
      </c>
      <c r="L10" s="94">
        <f>Эсбыт!J9</f>
        <v>1835</v>
      </c>
      <c r="M10" s="215" t="e">
        <f>#REF!</f>
        <v>#REF!</v>
      </c>
      <c r="N10" s="93">
        <f>Эсбыт!L9</f>
        <v>1538</v>
      </c>
      <c r="O10" s="54" t="e">
        <f>#REF!</f>
        <v>#REF!</v>
      </c>
      <c r="P10" s="96">
        <f>Эсбыт!N9</f>
        <v>1702</v>
      </c>
      <c r="Q10" s="215" t="e">
        <f>#REF!</f>
        <v>#REF!</v>
      </c>
      <c r="R10" s="93">
        <f>Эсбыт!P9</f>
        <v>1687</v>
      </c>
      <c r="S10" s="54" t="e">
        <f>#REF!</f>
        <v>#REF!</v>
      </c>
      <c r="T10" s="93">
        <f>Эсбыт!R9</f>
        <v>1640</v>
      </c>
      <c r="U10" s="47"/>
      <c r="V10" s="60"/>
      <c r="W10" s="48"/>
      <c r="X10" s="66"/>
      <c r="Y10" s="47"/>
      <c r="Z10" s="35"/>
      <c r="AA10" s="47"/>
      <c r="AB10" s="35"/>
      <c r="AC10" s="31" t="e">
        <f t="shared" si="0"/>
        <v>#REF!</v>
      </c>
      <c r="AD10" s="30">
        <f t="shared" si="0"/>
        <v>13921</v>
      </c>
      <c r="AE10" s="31" t="e">
        <f>AD10-AC10</f>
        <v>#REF!</v>
      </c>
      <c r="AF10" s="6"/>
      <c r="AG10" s="6"/>
      <c r="AH10" s="7"/>
      <c r="AI10" s="7"/>
      <c r="AJ10" s="7"/>
      <c r="AK10" s="7"/>
      <c r="AL10" s="7"/>
    </row>
    <row r="11" spans="2:38" ht="12.75" customHeight="1">
      <c r="B11" s="179">
        <f t="shared" si="1"/>
        <v>5</v>
      </c>
      <c r="C11" s="183" t="s">
        <v>1</v>
      </c>
      <c r="D11" s="151">
        <v>9045.5</v>
      </c>
      <c r="E11" s="202" t="e">
        <f>#REF!</f>
        <v>#REF!</v>
      </c>
      <c r="F11" s="195">
        <f>Эсбыт!D10</f>
        <v>863</v>
      </c>
      <c r="G11" s="202" t="e">
        <f>#REF!</f>
        <v>#REF!</v>
      </c>
      <c r="H11" s="195">
        <f>Эсбыт!F10</f>
        <v>990</v>
      </c>
      <c r="I11" s="202" t="e">
        <f>#REF!</f>
        <v>#REF!</v>
      </c>
      <c r="J11" s="86">
        <f>Эсбыт!H10</f>
        <v>762</v>
      </c>
      <c r="K11" s="54" t="e">
        <f>#REF!</f>
        <v>#REF!</v>
      </c>
      <c r="L11" s="94">
        <f>Эсбыт!J10</f>
        <v>834</v>
      </c>
      <c r="M11" s="215" t="e">
        <f>#REF!</f>
        <v>#REF!</v>
      </c>
      <c r="N11" s="93">
        <f>Эсбыт!L10</f>
        <v>759</v>
      </c>
      <c r="O11" s="54" t="e">
        <f>#REF!</f>
        <v>#REF!</v>
      </c>
      <c r="P11" s="96">
        <f>Эсбыт!N10</f>
        <v>940</v>
      </c>
      <c r="Q11" s="215" t="e">
        <f>#REF!</f>
        <v>#REF!</v>
      </c>
      <c r="R11" s="93">
        <f>Эсбыт!P10</f>
        <v>821</v>
      </c>
      <c r="S11" s="54" t="e">
        <f>#REF!</f>
        <v>#REF!</v>
      </c>
      <c r="T11" s="93">
        <f>Эсбыт!R10</f>
        <v>923</v>
      </c>
      <c r="U11" s="54"/>
      <c r="V11" s="61"/>
      <c r="W11" s="51"/>
      <c r="X11" s="67"/>
      <c r="Y11" s="47"/>
      <c r="Z11" s="35"/>
      <c r="AA11" s="47"/>
      <c r="AB11" s="35"/>
      <c r="AC11" s="31" t="e">
        <f t="shared" si="0"/>
        <v>#REF!</v>
      </c>
      <c r="AD11" s="30">
        <f t="shared" si="0"/>
        <v>6892</v>
      </c>
      <c r="AE11" s="31" t="e">
        <f>AD11-AC11</f>
        <v>#REF!</v>
      </c>
      <c r="AF11" s="13"/>
      <c r="AG11" s="13"/>
      <c r="AH11" s="13"/>
      <c r="AI11" s="13"/>
      <c r="AJ11" s="14"/>
      <c r="AK11" s="15"/>
      <c r="AL11" s="13"/>
    </row>
    <row r="12" spans="2:38" ht="12.75" customHeight="1">
      <c r="B12" s="179">
        <f t="shared" si="1"/>
        <v>6</v>
      </c>
      <c r="C12" s="189" t="s">
        <v>53</v>
      </c>
      <c r="D12" s="153">
        <v>7179.6</v>
      </c>
      <c r="E12" s="161" t="e">
        <f>#REF!</f>
        <v>#REF!</v>
      </c>
      <c r="F12" s="164">
        <f>Эсбыт!D11</f>
        <v>638</v>
      </c>
      <c r="G12" s="161" t="e">
        <f>#REF!</f>
        <v>#REF!</v>
      </c>
      <c r="H12" s="164">
        <f>Эсбыт!F11</f>
        <v>539</v>
      </c>
      <c r="I12" s="161" t="e">
        <f>#REF!</f>
        <v>#REF!</v>
      </c>
      <c r="J12" s="162">
        <f>Эсбыт!H11</f>
        <v>487</v>
      </c>
      <c r="K12" s="161" t="e">
        <f>#REF!</f>
        <v>#REF!</v>
      </c>
      <c r="L12" s="163">
        <f>Эсбыт!J11</f>
        <v>544</v>
      </c>
      <c r="M12" s="161" t="e">
        <f>#REF!</f>
        <v>#REF!</v>
      </c>
      <c r="N12" s="162">
        <f>Эсбыт!L11</f>
        <v>625</v>
      </c>
      <c r="O12" s="161" t="e">
        <f>#REF!</f>
        <v>#REF!</v>
      </c>
      <c r="P12" s="164">
        <f>Эсбыт!N11</f>
        <v>495</v>
      </c>
      <c r="Q12" s="161" t="e">
        <f>#REF!</f>
        <v>#REF!</v>
      </c>
      <c r="R12" s="162">
        <f>Эсбыт!P11</f>
        <v>453</v>
      </c>
      <c r="S12" s="161" t="e">
        <f>#REF!</f>
        <v>#REF!</v>
      </c>
      <c r="T12" s="162">
        <f>Эсбыт!R11</f>
        <v>601</v>
      </c>
      <c r="U12" s="161"/>
      <c r="V12" s="222"/>
      <c r="W12" s="165"/>
      <c r="X12" s="223"/>
      <c r="Y12" s="168"/>
      <c r="Z12" s="169"/>
      <c r="AA12" s="168"/>
      <c r="AB12" s="169"/>
      <c r="AC12" s="170" t="e">
        <f aca="true" t="shared" si="2" ref="AC12:AC68">AA12+Y12+W12+U12+S12+Q12+O12+M12+K12+I12+G12+E12</f>
        <v>#REF!</v>
      </c>
      <c r="AD12" s="171">
        <f aca="true" t="shared" si="3" ref="AD12:AD68">AB12+Z12+X12+V12+T12+R12+P12+N12+L12+J12+H12+F12</f>
        <v>4382</v>
      </c>
      <c r="AE12" s="170" t="e">
        <f aca="true" t="shared" si="4" ref="AE12:AE68">AD12-AC12</f>
        <v>#REF!</v>
      </c>
      <c r="AF12" s="13"/>
      <c r="AG12" s="13"/>
      <c r="AH12" s="13"/>
      <c r="AI12" s="13"/>
      <c r="AJ12" s="13"/>
      <c r="AK12" s="15"/>
      <c r="AL12" s="16"/>
    </row>
    <row r="13" spans="2:38" ht="12.75" customHeight="1">
      <c r="B13" s="179">
        <f t="shared" si="1"/>
        <v>7</v>
      </c>
      <c r="C13" s="44" t="s">
        <v>50</v>
      </c>
      <c r="D13" s="152">
        <v>7003.6</v>
      </c>
      <c r="E13" s="202" t="e">
        <f>#REF!</f>
        <v>#REF!</v>
      </c>
      <c r="F13" s="195">
        <f>Эсбыт!D12</f>
        <v>642</v>
      </c>
      <c r="G13" s="202" t="e">
        <f>#REF!</f>
        <v>#REF!</v>
      </c>
      <c r="H13" s="195">
        <f>Эсбыт!F12</f>
        <v>683</v>
      </c>
      <c r="I13" s="202" t="e">
        <f>#REF!</f>
        <v>#REF!</v>
      </c>
      <c r="J13" s="86">
        <f>Эсбыт!H12</f>
        <v>600</v>
      </c>
      <c r="K13" s="54" t="e">
        <f>#REF!</f>
        <v>#REF!</v>
      </c>
      <c r="L13" s="94">
        <f>Эсбыт!J12</f>
        <v>658</v>
      </c>
      <c r="M13" s="215" t="e">
        <f>#REF!</f>
        <v>#REF!</v>
      </c>
      <c r="N13" s="93">
        <f>Эсбыт!L12</f>
        <v>725</v>
      </c>
      <c r="O13" s="54" t="e">
        <f>#REF!</f>
        <v>#REF!</v>
      </c>
      <c r="P13" s="96">
        <f>Эсбыт!N12</f>
        <v>613</v>
      </c>
      <c r="Q13" s="215" t="e">
        <f>#REF!</f>
        <v>#REF!</v>
      </c>
      <c r="R13" s="93">
        <f>Эсбыт!P12</f>
        <v>623</v>
      </c>
      <c r="S13" s="54" t="e">
        <f>#REF!</f>
        <v>#REF!</v>
      </c>
      <c r="T13" s="93">
        <f>Эсбыт!R12</f>
        <v>808</v>
      </c>
      <c r="U13" s="54"/>
      <c r="V13" s="61"/>
      <c r="W13" s="51"/>
      <c r="X13" s="67"/>
      <c r="Y13" s="47"/>
      <c r="Z13" s="36"/>
      <c r="AA13" s="47"/>
      <c r="AB13" s="36"/>
      <c r="AC13" s="31" t="e">
        <f t="shared" si="2"/>
        <v>#REF!</v>
      </c>
      <c r="AD13" s="30">
        <f t="shared" si="3"/>
        <v>5352</v>
      </c>
      <c r="AE13" s="31" t="e">
        <f t="shared" si="4"/>
        <v>#REF!</v>
      </c>
      <c r="AF13" s="13"/>
      <c r="AG13" s="13"/>
      <c r="AH13" s="13"/>
      <c r="AI13" s="13"/>
      <c r="AJ13" s="13"/>
      <c r="AK13" s="15"/>
      <c r="AL13" s="16"/>
    </row>
    <row r="14" spans="2:38" ht="12.75" customHeight="1">
      <c r="B14" s="179">
        <f t="shared" si="1"/>
        <v>8</v>
      </c>
      <c r="C14" s="45" t="s">
        <v>0</v>
      </c>
      <c r="D14" s="152">
        <v>6727.7</v>
      </c>
      <c r="E14" s="202" t="e">
        <f>#REF!</f>
        <v>#REF!</v>
      </c>
      <c r="F14" s="195">
        <f>Эсбыт!D13</f>
        <v>945</v>
      </c>
      <c r="G14" s="202" t="e">
        <f>#REF!</f>
        <v>#REF!</v>
      </c>
      <c r="H14" s="195">
        <f>Эсбыт!F13</f>
        <v>981</v>
      </c>
      <c r="I14" s="202" t="e">
        <f>#REF!</f>
        <v>#REF!</v>
      </c>
      <c r="J14" s="86">
        <f>Эсбыт!H13</f>
        <v>1026</v>
      </c>
      <c r="K14" s="54" t="e">
        <f>#REF!</f>
        <v>#REF!</v>
      </c>
      <c r="L14" s="94">
        <f>Эсбыт!J13</f>
        <v>860</v>
      </c>
      <c r="M14" s="215" t="e">
        <f>#REF!</f>
        <v>#REF!</v>
      </c>
      <c r="N14" s="93">
        <f>Эсбыт!L13</f>
        <v>1015</v>
      </c>
      <c r="O14" s="54" t="e">
        <f>#REF!</f>
        <v>#REF!</v>
      </c>
      <c r="P14" s="96">
        <f>Эсбыт!N13</f>
        <v>972</v>
      </c>
      <c r="Q14" s="215" t="e">
        <f>#REF!</f>
        <v>#REF!</v>
      </c>
      <c r="R14" s="93">
        <f>Эсбыт!P13</f>
        <v>936</v>
      </c>
      <c r="S14" s="54" t="e">
        <f>#REF!</f>
        <v>#REF!</v>
      </c>
      <c r="T14" s="93">
        <f>Эсбыт!R13</f>
        <v>1022</v>
      </c>
      <c r="U14" s="54"/>
      <c r="V14" s="61"/>
      <c r="W14" s="51"/>
      <c r="X14" s="67"/>
      <c r="Y14" s="47"/>
      <c r="Z14" s="37"/>
      <c r="AA14" s="47"/>
      <c r="AB14" s="37"/>
      <c r="AC14" s="31" t="e">
        <f t="shared" si="2"/>
        <v>#REF!</v>
      </c>
      <c r="AD14" s="30">
        <f t="shared" si="3"/>
        <v>7757</v>
      </c>
      <c r="AE14" s="31" t="e">
        <f t="shared" si="4"/>
        <v>#REF!</v>
      </c>
      <c r="AF14" s="13"/>
      <c r="AG14" s="13"/>
      <c r="AH14" s="13"/>
      <c r="AI14" s="13"/>
      <c r="AJ14" s="14"/>
      <c r="AK14" s="15"/>
      <c r="AL14" s="13"/>
    </row>
    <row r="15" spans="2:38" ht="12.75" customHeight="1">
      <c r="B15" s="179">
        <f t="shared" si="1"/>
        <v>9</v>
      </c>
      <c r="C15" s="45" t="s">
        <v>74</v>
      </c>
      <c r="D15" s="152">
        <v>4726.8</v>
      </c>
      <c r="E15" s="202" t="e">
        <f>#REF!</f>
        <v>#REF!</v>
      </c>
      <c r="F15" s="195">
        <f>Эсбыт!D14</f>
        <v>846</v>
      </c>
      <c r="G15" s="202" t="e">
        <f>#REF!</f>
        <v>#REF!</v>
      </c>
      <c r="H15" s="195">
        <f>Эсбыт!F14</f>
        <v>1324</v>
      </c>
      <c r="I15" s="202" t="e">
        <f>#REF!</f>
        <v>#REF!</v>
      </c>
      <c r="J15" s="86">
        <f>Эсбыт!H14</f>
        <v>815</v>
      </c>
      <c r="K15" s="54" t="e">
        <f>#REF!</f>
        <v>#REF!</v>
      </c>
      <c r="L15" s="94">
        <f>Эсбыт!J14</f>
        <v>862</v>
      </c>
      <c r="M15" s="215" t="e">
        <f>#REF!</f>
        <v>#REF!</v>
      </c>
      <c r="N15" s="93">
        <f>Эсбыт!L14</f>
        <v>836</v>
      </c>
      <c r="O15" s="54" t="e">
        <f>#REF!</f>
        <v>#REF!</v>
      </c>
      <c r="P15" s="96">
        <f>Эсбыт!N14</f>
        <v>811</v>
      </c>
      <c r="Q15" s="215" t="e">
        <f>#REF!</f>
        <v>#REF!</v>
      </c>
      <c r="R15" s="93">
        <f>Эсбыт!P14</f>
        <v>737</v>
      </c>
      <c r="S15" s="54" t="e">
        <f>#REF!</f>
        <v>#REF!</v>
      </c>
      <c r="T15" s="93">
        <f>Эсбыт!R14</f>
        <v>916</v>
      </c>
      <c r="U15" s="54"/>
      <c r="V15" s="61"/>
      <c r="W15" s="51"/>
      <c r="X15" s="67"/>
      <c r="Y15" s="47"/>
      <c r="Z15" s="37"/>
      <c r="AA15" s="47"/>
      <c r="AB15" s="37"/>
      <c r="AC15" s="31" t="e">
        <f t="shared" si="2"/>
        <v>#REF!</v>
      </c>
      <c r="AD15" s="30">
        <f t="shared" si="3"/>
        <v>7147</v>
      </c>
      <c r="AE15" s="31" t="e">
        <f t="shared" si="4"/>
        <v>#REF!</v>
      </c>
      <c r="AF15" s="13"/>
      <c r="AG15" s="13"/>
      <c r="AH15" s="13"/>
      <c r="AI15" s="13"/>
      <c r="AJ15" s="14"/>
      <c r="AK15" s="15"/>
      <c r="AL15" s="13"/>
    </row>
    <row r="16" spans="2:38" ht="12.75" customHeight="1">
      <c r="B16" s="179">
        <f t="shared" si="1"/>
        <v>10</v>
      </c>
      <c r="C16" s="45" t="s">
        <v>75</v>
      </c>
      <c r="D16" s="152">
        <v>4730.4</v>
      </c>
      <c r="E16" s="202" t="e">
        <f>#REF!</f>
        <v>#REF!</v>
      </c>
      <c r="F16" s="195">
        <f>Эсбыт!D15</f>
        <v>951</v>
      </c>
      <c r="G16" s="202" t="e">
        <f>#REF!</f>
        <v>#REF!</v>
      </c>
      <c r="H16" s="195">
        <f>Эсбыт!F15</f>
        <v>826</v>
      </c>
      <c r="I16" s="202" t="e">
        <f>#REF!</f>
        <v>#REF!</v>
      </c>
      <c r="J16" s="86">
        <f>Эсбыт!H15</f>
        <v>489</v>
      </c>
      <c r="K16" s="54" t="e">
        <f>#REF!</f>
        <v>#REF!</v>
      </c>
      <c r="L16" s="94">
        <f>Эсбыт!J15</f>
        <v>578</v>
      </c>
      <c r="M16" s="215" t="e">
        <f>#REF!</f>
        <v>#REF!</v>
      </c>
      <c r="N16" s="93">
        <f>Эсбыт!L15</f>
        <v>655</v>
      </c>
      <c r="O16" s="54" t="e">
        <f>#REF!</f>
        <v>#REF!</v>
      </c>
      <c r="P16" s="96">
        <f>Эсбыт!N15</f>
        <v>665</v>
      </c>
      <c r="Q16" s="215" t="e">
        <f>#REF!</f>
        <v>#REF!</v>
      </c>
      <c r="R16" s="93">
        <f>Эсбыт!P15</f>
        <v>599</v>
      </c>
      <c r="S16" s="54" t="e">
        <f>#REF!</f>
        <v>#REF!</v>
      </c>
      <c r="T16" s="93">
        <f>Эсбыт!R15</f>
        <v>805</v>
      </c>
      <c r="U16" s="54"/>
      <c r="V16" s="61"/>
      <c r="W16" s="51"/>
      <c r="X16" s="67"/>
      <c r="Y16" s="47"/>
      <c r="Z16" s="37"/>
      <c r="AA16" s="47"/>
      <c r="AB16" s="37"/>
      <c r="AC16" s="31" t="e">
        <f t="shared" si="2"/>
        <v>#REF!</v>
      </c>
      <c r="AD16" s="30">
        <f t="shared" si="3"/>
        <v>5568</v>
      </c>
      <c r="AE16" s="31" t="e">
        <f t="shared" si="4"/>
        <v>#REF!</v>
      </c>
      <c r="AF16" s="13"/>
      <c r="AG16" s="13"/>
      <c r="AH16" s="13"/>
      <c r="AI16" s="13"/>
      <c r="AJ16" s="14"/>
      <c r="AK16" s="15"/>
      <c r="AL16" s="13"/>
    </row>
    <row r="17" spans="2:38" ht="12.75" customHeight="1">
      <c r="B17" s="179">
        <f t="shared" si="1"/>
        <v>11</v>
      </c>
      <c r="C17" s="45" t="s">
        <v>76</v>
      </c>
      <c r="D17" s="152">
        <v>4727.7</v>
      </c>
      <c r="E17" s="202" t="e">
        <f>#REF!</f>
        <v>#REF!</v>
      </c>
      <c r="F17" s="195">
        <f>Эсбыт!D16</f>
        <v>990</v>
      </c>
      <c r="G17" s="202" t="e">
        <f>#REF!</f>
        <v>#REF!</v>
      </c>
      <c r="H17" s="195">
        <f>Эсбыт!F16</f>
        <v>847</v>
      </c>
      <c r="I17" s="202" t="e">
        <f>#REF!</f>
        <v>#REF!</v>
      </c>
      <c r="J17" s="86">
        <f>Эсбыт!H16</f>
        <v>567</v>
      </c>
      <c r="K17" s="54" t="e">
        <f>#REF!</f>
        <v>#REF!</v>
      </c>
      <c r="L17" s="94">
        <f>Эсбыт!J16</f>
        <v>678</v>
      </c>
      <c r="M17" s="215" t="e">
        <f>#REF!</f>
        <v>#REF!</v>
      </c>
      <c r="N17" s="93">
        <f>Эсбыт!L16</f>
        <v>852</v>
      </c>
      <c r="O17" s="54" t="e">
        <f>#REF!</f>
        <v>#REF!</v>
      </c>
      <c r="P17" s="96">
        <f>Эсбыт!N16</f>
        <v>808</v>
      </c>
      <c r="Q17" s="215" t="e">
        <f>#REF!</f>
        <v>#REF!</v>
      </c>
      <c r="R17" s="93">
        <f>Эсбыт!P16</f>
        <v>787</v>
      </c>
      <c r="S17" s="54" t="e">
        <f>#REF!</f>
        <v>#REF!</v>
      </c>
      <c r="T17" s="93">
        <f>Эсбыт!R16</f>
        <v>987</v>
      </c>
      <c r="U17" s="54"/>
      <c r="V17" s="61"/>
      <c r="W17" s="51"/>
      <c r="X17" s="67"/>
      <c r="Y17" s="47"/>
      <c r="Z17" s="37"/>
      <c r="AA17" s="47"/>
      <c r="AB17" s="37"/>
      <c r="AC17" s="31" t="e">
        <f t="shared" si="2"/>
        <v>#REF!</v>
      </c>
      <c r="AD17" s="30">
        <f t="shared" si="3"/>
        <v>6516</v>
      </c>
      <c r="AE17" s="31" t="e">
        <f t="shared" si="4"/>
        <v>#REF!</v>
      </c>
      <c r="AF17" s="13"/>
      <c r="AG17" s="13"/>
      <c r="AH17" s="13"/>
      <c r="AI17" s="13"/>
      <c r="AJ17" s="14"/>
      <c r="AK17" s="15"/>
      <c r="AL17" s="13"/>
    </row>
    <row r="18" spans="2:38" ht="12.75" customHeight="1">
      <c r="B18" s="179">
        <f t="shared" si="1"/>
        <v>12</v>
      </c>
      <c r="C18" s="45" t="s">
        <v>71</v>
      </c>
      <c r="D18" s="152">
        <v>10656</v>
      </c>
      <c r="E18" s="202" t="e">
        <f>#REF!</f>
        <v>#REF!</v>
      </c>
      <c r="F18" s="195">
        <f>Эсбыт!D17</f>
        <v>1528</v>
      </c>
      <c r="G18" s="202" t="e">
        <f>#REF!</f>
        <v>#REF!</v>
      </c>
      <c r="H18" s="195">
        <f>Эсбыт!F17</f>
        <v>1456</v>
      </c>
      <c r="I18" s="202" t="e">
        <f>#REF!</f>
        <v>#REF!</v>
      </c>
      <c r="J18" s="86">
        <f>Эсбыт!H17</f>
        <v>1011</v>
      </c>
      <c r="K18" s="54" t="e">
        <f>#REF!</f>
        <v>#REF!</v>
      </c>
      <c r="L18" s="94">
        <f>Эсбыт!J17</f>
        <v>1384</v>
      </c>
      <c r="M18" s="215" t="e">
        <f>#REF!</f>
        <v>#REF!</v>
      </c>
      <c r="N18" s="93">
        <f>Эсбыт!L17</f>
        <v>1389</v>
      </c>
      <c r="O18" s="54" t="e">
        <f>#REF!</f>
        <v>#REF!</v>
      </c>
      <c r="P18" s="96">
        <f>Эсбыт!N17</f>
        <v>1291</v>
      </c>
      <c r="Q18" s="215" t="e">
        <f>#REF!</f>
        <v>#REF!</v>
      </c>
      <c r="R18" s="93">
        <f>Эсбыт!P17</f>
        <v>1446</v>
      </c>
      <c r="S18" s="54" t="e">
        <f>#REF!</f>
        <v>#REF!</v>
      </c>
      <c r="T18" s="93">
        <f>Эсбыт!R17</f>
        <v>1497</v>
      </c>
      <c r="U18" s="54"/>
      <c r="V18" s="61"/>
      <c r="W18" s="51"/>
      <c r="X18" s="67"/>
      <c r="Y18" s="47"/>
      <c r="Z18" s="37"/>
      <c r="AA18" s="47"/>
      <c r="AB18" s="37"/>
      <c r="AC18" s="31" t="e">
        <f t="shared" si="2"/>
        <v>#REF!</v>
      </c>
      <c r="AD18" s="30">
        <f t="shared" si="3"/>
        <v>11002</v>
      </c>
      <c r="AE18" s="31" t="e">
        <f t="shared" si="4"/>
        <v>#REF!</v>
      </c>
      <c r="AF18" s="13"/>
      <c r="AG18" s="13"/>
      <c r="AH18" s="13"/>
      <c r="AI18" s="13"/>
      <c r="AJ18" s="14"/>
      <c r="AK18" s="15"/>
      <c r="AL18" s="13"/>
    </row>
    <row r="19" spans="2:38" ht="12.75" customHeight="1">
      <c r="B19" s="179">
        <f t="shared" si="1"/>
        <v>13</v>
      </c>
      <c r="C19" s="45" t="s">
        <v>58</v>
      </c>
      <c r="D19" s="152">
        <v>3545.7</v>
      </c>
      <c r="E19" s="202" t="e">
        <f>#REF!</f>
        <v>#REF!</v>
      </c>
      <c r="F19" s="195">
        <f>Эсбыт!D18</f>
        <v>600</v>
      </c>
      <c r="G19" s="202" t="e">
        <f>#REF!</f>
        <v>#REF!</v>
      </c>
      <c r="H19" s="195">
        <f>Эсбыт!F18</f>
        <v>776</v>
      </c>
      <c r="I19" s="202" t="e">
        <f>#REF!</f>
        <v>#REF!</v>
      </c>
      <c r="J19" s="86">
        <f>Эсбыт!H18</f>
        <v>393</v>
      </c>
      <c r="K19" s="54" t="e">
        <f>#REF!</f>
        <v>#REF!</v>
      </c>
      <c r="L19" s="94">
        <f>Эсбыт!J18</f>
        <v>644</v>
      </c>
      <c r="M19" s="215" t="e">
        <f>#REF!</f>
        <v>#REF!</v>
      </c>
      <c r="N19" s="93">
        <f>Эсбыт!L18</f>
        <v>636</v>
      </c>
      <c r="O19" s="54" t="e">
        <f>#REF!</f>
        <v>#REF!</v>
      </c>
      <c r="P19" s="96">
        <f>Эсбыт!N18</f>
        <v>646</v>
      </c>
      <c r="Q19" s="215" t="e">
        <f>#REF!</f>
        <v>#REF!</v>
      </c>
      <c r="R19" s="93">
        <f>Эсбыт!P18</f>
        <v>619</v>
      </c>
      <c r="S19" s="54" t="e">
        <f>#REF!</f>
        <v>#REF!</v>
      </c>
      <c r="T19" s="93">
        <f>Эсбыт!R18</f>
        <v>597</v>
      </c>
      <c r="U19" s="47"/>
      <c r="V19" s="60"/>
      <c r="W19" s="49"/>
      <c r="X19" s="67"/>
      <c r="Y19" s="47"/>
      <c r="Z19" s="36"/>
      <c r="AA19" s="47"/>
      <c r="AB19" s="36"/>
      <c r="AC19" s="31" t="e">
        <f t="shared" si="2"/>
        <v>#REF!</v>
      </c>
      <c r="AD19" s="30">
        <f t="shared" si="3"/>
        <v>4911</v>
      </c>
      <c r="AE19" s="31" t="e">
        <f t="shared" si="4"/>
        <v>#REF!</v>
      </c>
      <c r="AF19" s="13"/>
      <c r="AG19" s="13"/>
      <c r="AH19" s="13"/>
      <c r="AI19" s="13"/>
      <c r="AJ19" s="13"/>
      <c r="AK19" s="15"/>
      <c r="AL19" s="16"/>
    </row>
    <row r="20" spans="2:38" ht="12.75" customHeight="1">
      <c r="B20" s="179">
        <f t="shared" si="1"/>
        <v>14</v>
      </c>
      <c r="C20" s="45" t="s">
        <v>59</v>
      </c>
      <c r="D20" s="152">
        <v>3547.1</v>
      </c>
      <c r="E20" s="202" t="e">
        <f>#REF!</f>
        <v>#REF!</v>
      </c>
      <c r="F20" s="195">
        <f>Эсбыт!D19</f>
        <v>819</v>
      </c>
      <c r="G20" s="202" t="e">
        <f>#REF!</f>
        <v>#REF!</v>
      </c>
      <c r="H20" s="195">
        <f>Эсбыт!F19</f>
        <v>510</v>
      </c>
      <c r="I20" s="202" t="e">
        <f>#REF!</f>
        <v>#REF!</v>
      </c>
      <c r="J20" s="86">
        <f>Эсбыт!H19</f>
        <v>266</v>
      </c>
      <c r="K20" s="54" t="e">
        <f>#REF!</f>
        <v>#REF!</v>
      </c>
      <c r="L20" s="94">
        <f>Эсбыт!J19</f>
        <v>425</v>
      </c>
      <c r="M20" s="215" t="e">
        <f>#REF!</f>
        <v>#REF!</v>
      </c>
      <c r="N20" s="93">
        <f>Эсбыт!L19</f>
        <v>438</v>
      </c>
      <c r="O20" s="54" t="e">
        <f>#REF!</f>
        <v>#REF!</v>
      </c>
      <c r="P20" s="96">
        <f>Эсбыт!N19</f>
        <v>367</v>
      </c>
      <c r="Q20" s="215" t="e">
        <f>#REF!</f>
        <v>#REF!</v>
      </c>
      <c r="R20" s="93">
        <f>Эсбыт!P19</f>
        <v>495</v>
      </c>
      <c r="S20" s="54" t="e">
        <f>#REF!</f>
        <v>#REF!</v>
      </c>
      <c r="T20" s="93">
        <f>Эсбыт!R19</f>
        <v>491</v>
      </c>
      <c r="U20" s="47"/>
      <c r="V20" s="60"/>
      <c r="W20" s="49"/>
      <c r="X20" s="67"/>
      <c r="Y20" s="47"/>
      <c r="Z20" s="36"/>
      <c r="AA20" s="47"/>
      <c r="AB20" s="36"/>
      <c r="AC20" s="31" t="e">
        <f t="shared" si="2"/>
        <v>#REF!</v>
      </c>
      <c r="AD20" s="30">
        <f t="shared" si="3"/>
        <v>3811</v>
      </c>
      <c r="AE20" s="31" t="e">
        <f t="shared" si="4"/>
        <v>#REF!</v>
      </c>
      <c r="AF20" s="13"/>
      <c r="AG20" s="13"/>
      <c r="AH20" s="13"/>
      <c r="AI20" s="13"/>
      <c r="AJ20" s="13"/>
      <c r="AK20" s="15"/>
      <c r="AL20" s="16"/>
    </row>
    <row r="21" spans="2:38" ht="12.75" customHeight="1">
      <c r="B21" s="179">
        <f t="shared" si="1"/>
        <v>15</v>
      </c>
      <c r="C21" s="184" t="s">
        <v>63</v>
      </c>
      <c r="D21" s="152">
        <v>3524.6</v>
      </c>
      <c r="E21" s="203" t="e">
        <f>#REF!</f>
        <v>#REF!</v>
      </c>
      <c r="F21" s="196">
        <f>Эсбыт!D20</f>
        <v>625</v>
      </c>
      <c r="G21" s="203" t="e">
        <f>#REF!</f>
        <v>#REF!</v>
      </c>
      <c r="H21" s="196">
        <f>Эсбыт!F20</f>
        <v>651</v>
      </c>
      <c r="I21" s="203" t="e">
        <f>#REF!</f>
        <v>#REF!</v>
      </c>
      <c r="J21" s="122">
        <f>Эсбыт!H20</f>
        <v>328</v>
      </c>
      <c r="K21" s="133" t="e">
        <f>#REF!</f>
        <v>#REF!</v>
      </c>
      <c r="L21" s="123">
        <f>Эсбыт!J20</f>
        <v>416</v>
      </c>
      <c r="M21" s="133" t="e">
        <f>#REF!</f>
        <v>#REF!</v>
      </c>
      <c r="N21" s="125">
        <f>Эсбыт!L20</f>
        <v>383</v>
      </c>
      <c r="O21" s="133" t="e">
        <f>#REF!</f>
        <v>#REF!</v>
      </c>
      <c r="P21" s="124">
        <f>Эсбыт!N20</f>
        <v>434</v>
      </c>
      <c r="Q21" s="133" t="e">
        <f>#REF!</f>
        <v>#REF!</v>
      </c>
      <c r="R21" s="125">
        <f>Эсбыт!P20</f>
        <v>402</v>
      </c>
      <c r="S21" s="133" t="e">
        <f>#REF!</f>
        <v>#REF!</v>
      </c>
      <c r="T21" s="125">
        <f>Эсбыт!R20</f>
        <v>412</v>
      </c>
      <c r="U21" s="127"/>
      <c r="V21" s="128"/>
      <c r="W21" s="129"/>
      <c r="X21" s="126"/>
      <c r="Y21" s="127"/>
      <c r="Z21" s="130"/>
      <c r="AA21" s="127"/>
      <c r="AB21" s="130"/>
      <c r="AC21" s="131" t="e">
        <f t="shared" si="2"/>
        <v>#REF!</v>
      </c>
      <c r="AD21" s="132">
        <f t="shared" si="3"/>
        <v>3651</v>
      </c>
      <c r="AE21" s="131" t="e">
        <f t="shared" si="4"/>
        <v>#REF!</v>
      </c>
      <c r="AF21" s="13"/>
      <c r="AG21" s="13"/>
      <c r="AH21" s="13"/>
      <c r="AI21" s="13"/>
      <c r="AJ21" s="13"/>
      <c r="AK21" s="15"/>
      <c r="AL21" s="16"/>
    </row>
    <row r="22" spans="2:38" ht="12.75" customHeight="1">
      <c r="B22" s="179">
        <f t="shared" si="1"/>
        <v>16</v>
      </c>
      <c r="C22" s="45" t="s">
        <v>73</v>
      </c>
      <c r="D22" s="152">
        <v>16614.4</v>
      </c>
      <c r="E22" s="202" t="e">
        <f>#REF!</f>
        <v>#REF!</v>
      </c>
      <c r="F22" s="195">
        <f>Эсбыт!D21</f>
        <v>2292</v>
      </c>
      <c r="G22" s="202" t="e">
        <f>#REF!</f>
        <v>#REF!</v>
      </c>
      <c r="H22" s="195">
        <f>Эсбыт!F21</f>
        <v>3201</v>
      </c>
      <c r="I22" s="202" t="e">
        <f>#REF!</f>
        <v>#REF!</v>
      </c>
      <c r="J22" s="86">
        <f>Эсбыт!H21</f>
        <v>1668</v>
      </c>
      <c r="K22" s="54" t="e">
        <f>#REF!</f>
        <v>#REF!</v>
      </c>
      <c r="L22" s="94">
        <f>Эсбыт!J21</f>
        <v>2790</v>
      </c>
      <c r="M22" s="215" t="e">
        <f>#REF!</f>
        <v>#REF!</v>
      </c>
      <c r="N22" s="93">
        <f>Эсбыт!L21</f>
        <v>2494</v>
      </c>
      <c r="O22" s="54" t="e">
        <f>#REF!</f>
        <v>#REF!</v>
      </c>
      <c r="P22" s="96">
        <f>Эсбыт!N21</f>
        <v>2364</v>
      </c>
      <c r="Q22" s="215" t="e">
        <f>#REF!</f>
        <v>#REF!</v>
      </c>
      <c r="R22" s="93">
        <f>Эсбыт!P21</f>
        <v>2473</v>
      </c>
      <c r="S22" s="54" t="e">
        <f>#REF!</f>
        <v>#REF!</v>
      </c>
      <c r="T22" s="93">
        <f>Эсбыт!R21</f>
        <v>2654</v>
      </c>
      <c r="U22" s="47"/>
      <c r="V22" s="60"/>
      <c r="W22" s="51"/>
      <c r="X22" s="66"/>
      <c r="Y22" s="47"/>
      <c r="Z22" s="36"/>
      <c r="AA22" s="47"/>
      <c r="AB22" s="36"/>
      <c r="AC22" s="31" t="e">
        <f t="shared" si="2"/>
        <v>#REF!</v>
      </c>
      <c r="AD22" s="30">
        <f t="shared" si="3"/>
        <v>19936</v>
      </c>
      <c r="AE22" s="31" t="e">
        <f t="shared" si="4"/>
        <v>#REF!</v>
      </c>
      <c r="AF22" s="13"/>
      <c r="AG22" s="13"/>
      <c r="AH22" s="13"/>
      <c r="AI22" s="13"/>
      <c r="AJ22" s="13"/>
      <c r="AK22" s="15"/>
      <c r="AL22" s="16"/>
    </row>
    <row r="23" spans="2:38" ht="12.75" customHeight="1">
      <c r="B23" s="179">
        <f t="shared" si="1"/>
        <v>17</v>
      </c>
      <c r="C23" s="45" t="s">
        <v>64</v>
      </c>
      <c r="D23" s="152">
        <v>14948.6</v>
      </c>
      <c r="E23" s="202" t="e">
        <f>#REF!</f>
        <v>#REF!</v>
      </c>
      <c r="F23" s="195">
        <f>Эсбыт!D22</f>
        <v>2942.5</v>
      </c>
      <c r="G23" s="202" t="e">
        <f>#REF!</f>
        <v>#REF!</v>
      </c>
      <c r="H23" s="195">
        <f>Эсбыт!F22</f>
        <v>1943</v>
      </c>
      <c r="I23" s="202" t="e">
        <f>#REF!</f>
        <v>#REF!</v>
      </c>
      <c r="J23" s="86">
        <f>Эсбыт!H22</f>
        <v>1029</v>
      </c>
      <c r="K23" s="54" t="e">
        <f>#REF!</f>
        <v>#REF!</v>
      </c>
      <c r="L23" s="94">
        <f>Эсбыт!J22</f>
        <v>1645</v>
      </c>
      <c r="M23" s="215" t="e">
        <f>#REF!</f>
        <v>#REF!</v>
      </c>
      <c r="N23" s="93">
        <f>Эсбыт!L22</f>
        <v>1537</v>
      </c>
      <c r="O23" s="54" t="e">
        <f>#REF!</f>
        <v>#REF!</v>
      </c>
      <c r="P23" s="96">
        <f>Эсбыт!N22</f>
        <v>1403</v>
      </c>
      <c r="Q23" s="215" t="e">
        <f>#REF!</f>
        <v>#REF!</v>
      </c>
      <c r="R23" s="93">
        <f>Эсбыт!P22</f>
        <v>1649</v>
      </c>
      <c r="S23" s="54" t="e">
        <f>#REF!</f>
        <v>#REF!</v>
      </c>
      <c r="T23" s="93">
        <f>Эсбыт!R22</f>
        <v>1738</v>
      </c>
      <c r="U23" s="54"/>
      <c r="V23" s="63"/>
      <c r="W23" s="51"/>
      <c r="X23" s="66"/>
      <c r="Y23" s="47"/>
      <c r="Z23" s="36"/>
      <c r="AA23" s="47"/>
      <c r="AB23" s="36"/>
      <c r="AC23" s="31" t="e">
        <f t="shared" si="2"/>
        <v>#REF!</v>
      </c>
      <c r="AD23" s="30">
        <f t="shared" si="3"/>
        <v>13886.5</v>
      </c>
      <c r="AE23" s="31" t="e">
        <f t="shared" si="4"/>
        <v>#REF!</v>
      </c>
      <c r="AF23" s="13"/>
      <c r="AG23" s="13"/>
      <c r="AH23" s="13"/>
      <c r="AI23" s="13"/>
      <c r="AJ23" s="13"/>
      <c r="AK23" s="15"/>
      <c r="AL23" s="13"/>
    </row>
    <row r="24" spans="2:38" ht="12.75" customHeight="1">
      <c r="B24" s="179">
        <f t="shared" si="1"/>
        <v>18</v>
      </c>
      <c r="C24" s="74" t="s">
        <v>87</v>
      </c>
      <c r="D24" s="150">
        <v>8832.7</v>
      </c>
      <c r="E24" s="202"/>
      <c r="F24" s="195"/>
      <c r="G24" s="202"/>
      <c r="H24" s="195"/>
      <c r="I24" s="202" t="e">
        <f>#REF!</f>
        <v>#REF!</v>
      </c>
      <c r="J24" s="86"/>
      <c r="K24" s="54" t="e">
        <f>#REF!</f>
        <v>#REF!</v>
      </c>
      <c r="L24" s="94">
        <f>Эсбыт!J23</f>
        <v>553</v>
      </c>
      <c r="M24" s="215" t="e">
        <f>#REF!</f>
        <v>#REF!</v>
      </c>
      <c r="N24" s="93">
        <f>Эсбыт!L23</f>
        <v>935</v>
      </c>
      <c r="O24" s="54" t="e">
        <f>#REF!</f>
        <v>#REF!</v>
      </c>
      <c r="P24" s="96">
        <f>Эсбыт!N23</f>
        <v>1164</v>
      </c>
      <c r="Q24" s="215" t="e">
        <f>#REF!</f>
        <v>#REF!</v>
      </c>
      <c r="R24" s="93">
        <f>Эсбыт!P23</f>
        <v>1316</v>
      </c>
      <c r="S24" s="54" t="e">
        <f>#REF!</f>
        <v>#REF!</v>
      </c>
      <c r="T24" s="93">
        <f>Эсбыт!R23</f>
        <v>1322</v>
      </c>
      <c r="U24" s="54"/>
      <c r="V24" s="63"/>
      <c r="W24" s="51"/>
      <c r="X24" s="66"/>
      <c r="Y24" s="47"/>
      <c r="Z24" s="36"/>
      <c r="AA24" s="47"/>
      <c r="AB24" s="36"/>
      <c r="AC24" s="31" t="e">
        <f t="shared" si="2"/>
        <v>#REF!</v>
      </c>
      <c r="AD24" s="30">
        <f t="shared" si="3"/>
        <v>5290</v>
      </c>
      <c r="AE24" s="31" t="e">
        <f t="shared" si="4"/>
        <v>#REF!</v>
      </c>
      <c r="AF24" s="13"/>
      <c r="AG24" s="13"/>
      <c r="AH24" s="13"/>
      <c r="AI24" s="13"/>
      <c r="AJ24" s="13"/>
      <c r="AK24" s="15"/>
      <c r="AL24" s="13"/>
    </row>
    <row r="25" spans="2:38" ht="12.75" customHeight="1">
      <c r="B25" s="179">
        <f t="shared" si="1"/>
        <v>19</v>
      </c>
      <c r="C25" s="45" t="s">
        <v>56</v>
      </c>
      <c r="D25" s="152">
        <v>19523.1</v>
      </c>
      <c r="E25" s="202" t="e">
        <f>#REF!</f>
        <v>#REF!</v>
      </c>
      <c r="F25" s="195">
        <f>Эсбыт!D24</f>
        <v>3962</v>
      </c>
      <c r="G25" s="202" t="e">
        <f>#REF!</f>
        <v>#REF!</v>
      </c>
      <c r="H25" s="195">
        <f>Эсбыт!F24</f>
        <v>2759</v>
      </c>
      <c r="I25" s="202" t="e">
        <f>#REF!</f>
        <v>#REF!</v>
      </c>
      <c r="J25" s="86">
        <f>Эсбыт!H24</f>
        <v>1458</v>
      </c>
      <c r="K25" s="54" t="e">
        <f>#REF!</f>
        <v>#REF!</v>
      </c>
      <c r="L25" s="94">
        <f>Эсбыт!J24</f>
        <v>2506</v>
      </c>
      <c r="M25" s="215" t="e">
        <f>#REF!</f>
        <v>#REF!</v>
      </c>
      <c r="N25" s="93">
        <f>Эсбыт!L24</f>
        <v>2304</v>
      </c>
      <c r="O25" s="54" t="e">
        <f>#REF!</f>
        <v>#REF!</v>
      </c>
      <c r="P25" s="96">
        <f>Эсбыт!N24</f>
        <v>2246</v>
      </c>
      <c r="Q25" s="215" t="e">
        <f>#REF!</f>
        <v>#REF!</v>
      </c>
      <c r="R25" s="93">
        <f>Эсбыт!P24</f>
        <v>2360</v>
      </c>
      <c r="S25" s="54" t="e">
        <f>#REF!</f>
        <v>#REF!</v>
      </c>
      <c r="T25" s="93">
        <f>Эсбыт!R24</f>
        <v>2683</v>
      </c>
      <c r="U25" s="54"/>
      <c r="V25" s="63"/>
      <c r="W25" s="51"/>
      <c r="X25" s="66"/>
      <c r="Y25" s="47"/>
      <c r="Z25" s="36"/>
      <c r="AA25" s="47"/>
      <c r="AB25" s="36"/>
      <c r="AC25" s="31" t="e">
        <f t="shared" si="2"/>
        <v>#REF!</v>
      </c>
      <c r="AD25" s="30">
        <f t="shared" si="3"/>
        <v>20278</v>
      </c>
      <c r="AE25" s="31" t="e">
        <f t="shared" si="4"/>
        <v>#REF!</v>
      </c>
      <c r="AF25" s="13"/>
      <c r="AG25" s="13"/>
      <c r="AH25" s="13"/>
      <c r="AI25" s="13"/>
      <c r="AJ25" s="13"/>
      <c r="AK25" s="15"/>
      <c r="AL25" s="13"/>
    </row>
    <row r="26" spans="2:42" s="22" customFormat="1" ht="12.75" customHeight="1">
      <c r="B26" s="179">
        <f t="shared" si="1"/>
        <v>20</v>
      </c>
      <c r="C26" s="185" t="s">
        <v>62</v>
      </c>
      <c r="D26" s="152">
        <v>18481.1</v>
      </c>
      <c r="E26" s="204" t="e">
        <f>#REF!</f>
        <v>#REF!</v>
      </c>
      <c r="F26" s="197">
        <f>Эсбыт!D25</f>
        <v>3453</v>
      </c>
      <c r="G26" s="204" t="e">
        <f>#REF!</f>
        <v>#REF!</v>
      </c>
      <c r="H26" s="197">
        <f>Эсбыт!F25</f>
        <v>2354</v>
      </c>
      <c r="I26" s="204" t="e">
        <f>#REF!</f>
        <v>#REF!</v>
      </c>
      <c r="J26" s="95">
        <f>Эсбыт!H25</f>
        <v>1241</v>
      </c>
      <c r="K26" s="55" t="e">
        <f>#REF!</f>
        <v>#REF!</v>
      </c>
      <c r="L26" s="117">
        <f>Эсбыт!J25</f>
        <v>1992</v>
      </c>
      <c r="M26" s="55" t="e">
        <f>#REF!</f>
        <v>#REF!</v>
      </c>
      <c r="N26" s="145">
        <f>Эсбыт!L25</f>
        <v>1909</v>
      </c>
      <c r="O26" s="55" t="e">
        <f>#REF!</f>
        <v>#REF!</v>
      </c>
      <c r="P26" s="118">
        <f>Эсбыт!N25</f>
        <v>1879</v>
      </c>
      <c r="Q26" s="55" t="e">
        <f>#REF!</f>
        <v>#REF!</v>
      </c>
      <c r="R26" s="145">
        <f>Эсбыт!P25</f>
        <v>1834</v>
      </c>
      <c r="S26" s="55" t="e">
        <f>#REF!</f>
        <v>#REF!</v>
      </c>
      <c r="T26" s="145">
        <f>Эсбыт!R25</f>
        <v>1997</v>
      </c>
      <c r="U26" s="55"/>
      <c r="V26" s="63"/>
      <c r="W26" s="51"/>
      <c r="X26" s="68"/>
      <c r="Y26" s="57"/>
      <c r="Z26" s="38"/>
      <c r="AA26" s="57"/>
      <c r="AB26" s="38"/>
      <c r="AC26" s="119" t="e">
        <f t="shared" si="2"/>
        <v>#REF!</v>
      </c>
      <c r="AD26" s="120">
        <f t="shared" si="3"/>
        <v>16659</v>
      </c>
      <c r="AE26" s="119" t="e">
        <f t="shared" si="4"/>
        <v>#REF!</v>
      </c>
      <c r="AF26" s="20"/>
      <c r="AG26" s="20"/>
      <c r="AH26" s="20"/>
      <c r="AI26" s="20"/>
      <c r="AJ26" s="20"/>
      <c r="AK26" s="21"/>
      <c r="AL26" s="20"/>
      <c r="AP26" s="23"/>
    </row>
    <row r="27" spans="2:42" s="22" customFormat="1" ht="12.75" customHeight="1">
      <c r="B27" s="179">
        <f t="shared" si="1"/>
        <v>21</v>
      </c>
      <c r="C27" s="45" t="s">
        <v>54</v>
      </c>
      <c r="D27" s="152">
        <v>18464.4</v>
      </c>
      <c r="E27" s="202" t="e">
        <f>#REF!</f>
        <v>#REF!</v>
      </c>
      <c r="F27" s="195">
        <f>Эсбыт!D26</f>
        <v>3785</v>
      </c>
      <c r="G27" s="202" t="e">
        <f>#REF!</f>
        <v>#REF!</v>
      </c>
      <c r="H27" s="195">
        <f>Эсбыт!F26</f>
        <v>2459</v>
      </c>
      <c r="I27" s="202" t="e">
        <f>#REF!</f>
        <v>#REF!</v>
      </c>
      <c r="J27" s="86">
        <f>Эсбыт!H26</f>
        <v>1291</v>
      </c>
      <c r="K27" s="54" t="e">
        <f>#REF!</f>
        <v>#REF!</v>
      </c>
      <c r="L27" s="94">
        <f>Эсбыт!J26</f>
        <v>2240</v>
      </c>
      <c r="M27" s="215" t="e">
        <f>#REF!</f>
        <v>#REF!</v>
      </c>
      <c r="N27" s="93">
        <f>Эсбыт!L26</f>
        <v>2120</v>
      </c>
      <c r="O27" s="54" t="e">
        <f>#REF!</f>
        <v>#REF!</v>
      </c>
      <c r="P27" s="96">
        <f>Эсбыт!N26</f>
        <v>1863</v>
      </c>
      <c r="Q27" s="215" t="e">
        <f>#REF!</f>
        <v>#REF!</v>
      </c>
      <c r="R27" s="93">
        <f>Эсбыт!P26</f>
        <v>1896</v>
      </c>
      <c r="S27" s="54" t="e">
        <f>#REF!</f>
        <v>#REF!</v>
      </c>
      <c r="T27" s="93">
        <f>Эсбыт!R26</f>
        <v>2057</v>
      </c>
      <c r="U27" s="54"/>
      <c r="V27" s="63"/>
      <c r="W27" s="51"/>
      <c r="X27" s="68"/>
      <c r="Y27" s="57"/>
      <c r="Z27" s="38"/>
      <c r="AA27" s="57"/>
      <c r="AB27" s="38"/>
      <c r="AC27" s="31" t="e">
        <f t="shared" si="2"/>
        <v>#REF!</v>
      </c>
      <c r="AD27" s="30">
        <f t="shared" si="3"/>
        <v>17711</v>
      </c>
      <c r="AE27" s="31" t="e">
        <f t="shared" si="4"/>
        <v>#REF!</v>
      </c>
      <c r="AF27" s="20"/>
      <c r="AG27" s="20"/>
      <c r="AH27" s="20"/>
      <c r="AI27" s="20"/>
      <c r="AJ27" s="20"/>
      <c r="AK27" s="21"/>
      <c r="AL27" s="20"/>
      <c r="AP27" s="23"/>
    </row>
    <row r="28" spans="2:38" ht="12.75" customHeight="1">
      <c r="B28" s="179">
        <f t="shared" si="1"/>
        <v>22</v>
      </c>
      <c r="C28" s="45" t="s">
        <v>51</v>
      </c>
      <c r="D28" s="152">
        <v>30266.3</v>
      </c>
      <c r="E28" s="202" t="e">
        <f>#REF!</f>
        <v>#REF!</v>
      </c>
      <c r="F28" s="195">
        <f>Эсбыт!D27</f>
        <v>6377</v>
      </c>
      <c r="G28" s="202" t="e">
        <f>#REF!</f>
        <v>#REF!</v>
      </c>
      <c r="H28" s="195">
        <f>Эсбыт!F27</f>
        <v>4416</v>
      </c>
      <c r="I28" s="202" t="e">
        <f>#REF!</f>
        <v>#REF!</v>
      </c>
      <c r="J28" s="86">
        <f>Эсбыт!H27</f>
        <v>2569</v>
      </c>
      <c r="K28" s="54" t="e">
        <f>#REF!</f>
        <v>#REF!</v>
      </c>
      <c r="L28" s="94">
        <f>Эсбыт!J27</f>
        <v>4178</v>
      </c>
      <c r="M28" s="215" t="e">
        <f>#REF!</f>
        <v>#REF!</v>
      </c>
      <c r="N28" s="93">
        <f>Эсбыт!L27</f>
        <v>3724</v>
      </c>
      <c r="O28" s="54" t="e">
        <f>#REF!</f>
        <v>#REF!</v>
      </c>
      <c r="P28" s="96">
        <f>Эсбыт!N27</f>
        <v>3492</v>
      </c>
      <c r="Q28" s="215" t="e">
        <f>#REF!</f>
        <v>#REF!</v>
      </c>
      <c r="R28" s="93">
        <f>Эсбыт!P27</f>
        <v>4028</v>
      </c>
      <c r="S28" s="54" t="e">
        <f>#REF!</f>
        <v>#REF!</v>
      </c>
      <c r="T28" s="93">
        <f>Эсбыт!R27</f>
        <v>3810</v>
      </c>
      <c r="U28" s="54"/>
      <c r="V28" s="60"/>
      <c r="W28" s="51"/>
      <c r="X28" s="66"/>
      <c r="Y28" s="47"/>
      <c r="Z28" s="38"/>
      <c r="AA28" s="47"/>
      <c r="AB28" s="38"/>
      <c r="AC28" s="31" t="e">
        <f t="shared" si="2"/>
        <v>#REF!</v>
      </c>
      <c r="AD28" s="30">
        <f t="shared" si="3"/>
        <v>32594</v>
      </c>
      <c r="AE28" s="31" t="e">
        <f t="shared" si="4"/>
        <v>#REF!</v>
      </c>
      <c r="AF28" s="13"/>
      <c r="AG28" s="13"/>
      <c r="AH28" s="13"/>
      <c r="AI28" s="13"/>
      <c r="AJ28" s="13"/>
      <c r="AK28" s="15"/>
      <c r="AL28" s="16"/>
    </row>
    <row r="29" spans="2:41" ht="12.75" customHeight="1">
      <c r="B29" s="179">
        <f t="shared" si="1"/>
        <v>23</v>
      </c>
      <c r="C29" s="44" t="s">
        <v>57</v>
      </c>
      <c r="D29" s="152">
        <v>24146</v>
      </c>
      <c r="E29" s="202" t="e">
        <f>#REF!</f>
        <v>#REF!</v>
      </c>
      <c r="F29" s="195">
        <f>Эсбыт!D28</f>
        <v>2740</v>
      </c>
      <c r="G29" s="202" t="e">
        <f>#REF!</f>
        <v>#REF!</v>
      </c>
      <c r="H29" s="195">
        <f>Эсбыт!F28</f>
        <v>3392</v>
      </c>
      <c r="I29" s="202" t="e">
        <f>#REF!</f>
        <v>#REF!</v>
      </c>
      <c r="J29" s="86">
        <f>Эсбыт!H28</f>
        <v>2235</v>
      </c>
      <c r="K29" s="54" t="e">
        <f>#REF!</f>
        <v>#REF!</v>
      </c>
      <c r="L29" s="94">
        <f>Эсбыт!J28</f>
        <v>2132</v>
      </c>
      <c r="M29" s="215" t="e">
        <f>#REF!</f>
        <v>#REF!</v>
      </c>
      <c r="N29" s="93">
        <f>Эсбыт!L28</f>
        <v>2425</v>
      </c>
      <c r="O29" s="54" t="e">
        <f>#REF!</f>
        <v>#REF!</v>
      </c>
      <c r="P29" s="96">
        <f>Эсбыт!N28</f>
        <v>2394</v>
      </c>
      <c r="Q29" s="215" t="e">
        <f>#REF!</f>
        <v>#REF!</v>
      </c>
      <c r="R29" s="93">
        <f>Эсбыт!P28</f>
        <v>2396</v>
      </c>
      <c r="S29" s="54" t="e">
        <f>#REF!</f>
        <v>#REF!</v>
      </c>
      <c r="T29" s="93">
        <f>Эсбыт!R28</f>
        <v>2308</v>
      </c>
      <c r="U29" s="54"/>
      <c r="V29" s="60"/>
      <c r="W29" s="51"/>
      <c r="X29" s="66"/>
      <c r="Y29" s="47"/>
      <c r="Z29" s="38"/>
      <c r="AA29" s="47"/>
      <c r="AB29" s="38"/>
      <c r="AC29" s="31" t="e">
        <f t="shared" si="2"/>
        <v>#REF!</v>
      </c>
      <c r="AD29" s="30">
        <f t="shared" si="3"/>
        <v>20022</v>
      </c>
      <c r="AE29" s="31" t="e">
        <f t="shared" si="4"/>
        <v>#REF!</v>
      </c>
      <c r="AF29" s="13"/>
      <c r="AG29" s="13"/>
      <c r="AH29" s="13"/>
      <c r="AI29" s="13"/>
      <c r="AJ29" s="13"/>
      <c r="AK29" s="15"/>
      <c r="AL29" s="13"/>
      <c r="AO29" s="1"/>
    </row>
    <row r="30" spans="2:38" ht="12.75" customHeight="1">
      <c r="B30" s="179">
        <f t="shared" si="1"/>
        <v>24</v>
      </c>
      <c r="C30" s="185" t="s">
        <v>60</v>
      </c>
      <c r="D30" s="152">
        <v>20258.6</v>
      </c>
      <c r="E30" s="204" t="e">
        <f>#REF!</f>
        <v>#REF!</v>
      </c>
      <c r="F30" s="197">
        <f>Эсбыт!D29</f>
        <v>2830</v>
      </c>
      <c r="G30" s="204" t="e">
        <f>#REF!</f>
        <v>#REF!</v>
      </c>
      <c r="H30" s="197">
        <f>Эсбыт!F29</f>
        <v>3134</v>
      </c>
      <c r="I30" s="204" t="e">
        <f>#REF!</f>
        <v>#REF!</v>
      </c>
      <c r="J30" s="95">
        <f>Эсбыт!H29</f>
        <v>2354</v>
      </c>
      <c r="K30" s="55" t="e">
        <f>#REF!</f>
        <v>#REF!</v>
      </c>
      <c r="L30" s="117">
        <f>Эсбыт!J29</f>
        <v>2355</v>
      </c>
      <c r="M30" s="55" t="e">
        <f>#REF!</f>
        <v>#REF!</v>
      </c>
      <c r="N30" s="145">
        <f>Эсбыт!L29</f>
        <v>2471</v>
      </c>
      <c r="O30" s="55" t="e">
        <f>#REF!</f>
        <v>#REF!</v>
      </c>
      <c r="P30" s="118">
        <f>Эсбыт!N29</f>
        <v>2594</v>
      </c>
      <c r="Q30" s="215" t="e">
        <f>#REF!</f>
        <v>#REF!</v>
      </c>
      <c r="R30" s="93">
        <f>Эсбыт!P29</f>
        <v>2603</v>
      </c>
      <c r="S30" s="54" t="e">
        <f>#REF!</f>
        <v>#REF!</v>
      </c>
      <c r="T30" s="93">
        <f>Эсбыт!R29</f>
        <v>3148</v>
      </c>
      <c r="U30" s="55"/>
      <c r="V30" s="63"/>
      <c r="W30" s="51"/>
      <c r="X30" s="68"/>
      <c r="Y30" s="57"/>
      <c r="Z30" s="38"/>
      <c r="AA30" s="57"/>
      <c r="AB30" s="38"/>
      <c r="AC30" s="119" t="e">
        <f t="shared" si="2"/>
        <v>#REF!</v>
      </c>
      <c r="AD30" s="120">
        <f t="shared" si="3"/>
        <v>21489</v>
      </c>
      <c r="AE30" s="119" t="e">
        <f t="shared" si="4"/>
        <v>#REF!</v>
      </c>
      <c r="AF30" s="13"/>
      <c r="AG30" s="13"/>
      <c r="AH30" s="13"/>
      <c r="AI30" s="13"/>
      <c r="AJ30" s="13"/>
      <c r="AK30" s="15"/>
      <c r="AL30" s="16"/>
    </row>
    <row r="31" spans="2:38" ht="12.75" customHeight="1">
      <c r="B31" s="179">
        <f t="shared" si="1"/>
        <v>25</v>
      </c>
      <c r="C31" s="45" t="s">
        <v>52</v>
      </c>
      <c r="D31" s="152">
        <v>6735.1</v>
      </c>
      <c r="E31" s="202" t="e">
        <f>#REF!</f>
        <v>#REF!</v>
      </c>
      <c r="F31" s="195">
        <f>Эсбыт!D30</f>
        <v>1003</v>
      </c>
      <c r="G31" s="202" t="e">
        <f>#REF!</f>
        <v>#REF!</v>
      </c>
      <c r="H31" s="195">
        <f>Эсбыт!F30</f>
        <v>1068</v>
      </c>
      <c r="I31" s="202" t="e">
        <f>#REF!</f>
        <v>#REF!</v>
      </c>
      <c r="J31" s="86">
        <f>Эсбыт!H30</f>
        <v>833</v>
      </c>
      <c r="K31" s="54" t="e">
        <f>#REF!</f>
        <v>#REF!</v>
      </c>
      <c r="L31" s="94">
        <f>Эсбыт!J30</f>
        <v>710</v>
      </c>
      <c r="M31" s="215" t="e">
        <f>#REF!</f>
        <v>#REF!</v>
      </c>
      <c r="N31" s="93">
        <f>Эсбыт!L30</f>
        <v>891</v>
      </c>
      <c r="O31" s="54" t="e">
        <f>#REF!</f>
        <v>#REF!</v>
      </c>
      <c r="P31" s="96">
        <f>Эсбыт!N30</f>
        <v>914</v>
      </c>
      <c r="Q31" s="215" t="e">
        <f>#REF!</f>
        <v>#REF!</v>
      </c>
      <c r="R31" s="93">
        <f>Эсбыт!P30</f>
        <v>915</v>
      </c>
      <c r="S31" s="54" t="e">
        <f>#REF!</f>
        <v>#REF!</v>
      </c>
      <c r="T31" s="93">
        <f>Эсбыт!R30</f>
        <v>1086</v>
      </c>
      <c r="U31" s="54"/>
      <c r="V31" s="60"/>
      <c r="W31" s="51"/>
      <c r="X31" s="66"/>
      <c r="Y31" s="47"/>
      <c r="Z31" s="37"/>
      <c r="AA31" s="47"/>
      <c r="AB31" s="37"/>
      <c r="AC31" s="31" t="e">
        <f t="shared" si="2"/>
        <v>#REF!</v>
      </c>
      <c r="AD31" s="30">
        <f t="shared" si="3"/>
        <v>7420</v>
      </c>
      <c r="AE31" s="31" t="e">
        <f t="shared" si="4"/>
        <v>#REF!</v>
      </c>
      <c r="AF31" s="13"/>
      <c r="AG31" s="13"/>
      <c r="AH31" s="13"/>
      <c r="AI31" s="13"/>
      <c r="AJ31" s="13"/>
      <c r="AK31" s="15"/>
      <c r="AL31" s="16"/>
    </row>
    <row r="32" spans="2:38" ht="12.75" customHeight="1">
      <c r="B32" s="179">
        <f t="shared" si="1"/>
        <v>26</v>
      </c>
      <c r="C32" s="45" t="s">
        <v>42</v>
      </c>
      <c r="D32" s="152">
        <v>13989.3</v>
      </c>
      <c r="E32" s="202" t="e">
        <f>#REF!</f>
        <v>#REF!</v>
      </c>
      <c r="F32" s="195">
        <f>Эсбыт!D31</f>
        <v>2013</v>
      </c>
      <c r="G32" s="202" t="e">
        <f>#REF!</f>
        <v>#REF!</v>
      </c>
      <c r="H32" s="195">
        <f>Эсбыт!F31</f>
        <v>2264</v>
      </c>
      <c r="I32" s="202" t="e">
        <f>#REF!</f>
        <v>#REF!</v>
      </c>
      <c r="J32" s="86">
        <f>Эсбыт!H31</f>
        <v>1750</v>
      </c>
      <c r="K32" s="54" t="e">
        <f>#REF!</f>
        <v>#REF!</v>
      </c>
      <c r="L32" s="94">
        <f>Эсбыт!J31</f>
        <v>1859</v>
      </c>
      <c r="M32" s="215" t="e">
        <f>#REF!</f>
        <v>#REF!</v>
      </c>
      <c r="N32" s="93">
        <f>Эсбыт!L31</f>
        <v>1810</v>
      </c>
      <c r="O32" s="54" t="e">
        <f>#REF!</f>
        <v>#REF!</v>
      </c>
      <c r="P32" s="96">
        <f>Эсбыт!N31</f>
        <v>2069</v>
      </c>
      <c r="Q32" s="215" t="e">
        <f>#REF!</f>
        <v>#REF!</v>
      </c>
      <c r="R32" s="93">
        <f>Эсбыт!P31</f>
        <v>1896</v>
      </c>
      <c r="S32" s="54" t="e">
        <f>#REF!</f>
        <v>#REF!</v>
      </c>
      <c r="T32" s="93">
        <f>Эсбыт!R31</f>
        <v>2416</v>
      </c>
      <c r="U32" s="54"/>
      <c r="V32" s="60"/>
      <c r="W32" s="51"/>
      <c r="X32" s="66"/>
      <c r="Y32" s="47"/>
      <c r="Z32" s="37"/>
      <c r="AA32" s="47"/>
      <c r="AB32" s="37"/>
      <c r="AC32" s="31" t="e">
        <f t="shared" si="2"/>
        <v>#REF!</v>
      </c>
      <c r="AD32" s="30">
        <f t="shared" si="3"/>
        <v>16077</v>
      </c>
      <c r="AE32" s="31" t="e">
        <f t="shared" si="4"/>
        <v>#REF!</v>
      </c>
      <c r="AF32" s="13"/>
      <c r="AG32" s="13"/>
      <c r="AH32" s="13"/>
      <c r="AI32" s="13"/>
      <c r="AJ32" s="13"/>
      <c r="AK32" s="15"/>
      <c r="AL32" s="13"/>
    </row>
    <row r="33" spans="2:38" ht="12.75" customHeight="1">
      <c r="B33" s="179">
        <f t="shared" si="1"/>
        <v>27</v>
      </c>
      <c r="C33" s="45" t="s">
        <v>2</v>
      </c>
      <c r="D33" s="152">
        <v>13695.4</v>
      </c>
      <c r="E33" s="202" t="e">
        <f>#REF!</f>
        <v>#REF!</v>
      </c>
      <c r="F33" s="195">
        <f>Эсбыт!D32</f>
        <v>2065</v>
      </c>
      <c r="G33" s="202" t="e">
        <f>#REF!</f>
        <v>#REF!</v>
      </c>
      <c r="H33" s="195">
        <f>Эсбыт!F32</f>
        <v>2123</v>
      </c>
      <c r="I33" s="202" t="e">
        <f>#REF!</f>
        <v>#REF!</v>
      </c>
      <c r="J33" s="86">
        <f>Эсбыт!H32</f>
        <v>1699</v>
      </c>
      <c r="K33" s="54" t="e">
        <f>#REF!</f>
        <v>#REF!</v>
      </c>
      <c r="L33" s="94">
        <f>Эсбыт!J32</f>
        <v>1872</v>
      </c>
      <c r="M33" s="215" t="e">
        <f>#REF!</f>
        <v>#REF!</v>
      </c>
      <c r="N33" s="93">
        <f>Эсбыт!L32</f>
        <v>1821</v>
      </c>
      <c r="O33" s="54" t="e">
        <f>#REF!</f>
        <v>#REF!</v>
      </c>
      <c r="P33" s="96">
        <f>Эсбыт!N32</f>
        <v>2022</v>
      </c>
      <c r="Q33" s="215" t="e">
        <f>#REF!</f>
        <v>#REF!</v>
      </c>
      <c r="R33" s="93">
        <f>Эсбыт!P32</f>
        <v>1808</v>
      </c>
      <c r="S33" s="54" t="e">
        <f>#REF!</f>
        <v>#REF!</v>
      </c>
      <c r="T33" s="93">
        <f>Эсбыт!R32</f>
        <v>2302</v>
      </c>
      <c r="U33" s="54"/>
      <c r="V33" s="60"/>
      <c r="W33" s="51"/>
      <c r="X33" s="66"/>
      <c r="Y33" s="47"/>
      <c r="Z33" s="37"/>
      <c r="AA33" s="47"/>
      <c r="AB33" s="37"/>
      <c r="AC33" s="31" t="e">
        <f t="shared" si="2"/>
        <v>#REF!</v>
      </c>
      <c r="AD33" s="30">
        <f t="shared" si="3"/>
        <v>15712</v>
      </c>
      <c r="AE33" s="31" t="e">
        <f t="shared" si="4"/>
        <v>#REF!</v>
      </c>
      <c r="AF33" s="13"/>
      <c r="AG33" s="13"/>
      <c r="AH33" s="13"/>
      <c r="AI33" s="13"/>
      <c r="AJ33" s="13"/>
      <c r="AK33" s="15"/>
      <c r="AL33" s="16"/>
    </row>
    <row r="34" spans="2:38" ht="12.75" customHeight="1">
      <c r="B34" s="179">
        <f t="shared" si="1"/>
        <v>28</v>
      </c>
      <c r="C34" s="45" t="s">
        <v>3</v>
      </c>
      <c r="D34" s="152">
        <v>6360.3</v>
      </c>
      <c r="E34" s="202" t="e">
        <f>#REF!</f>
        <v>#REF!</v>
      </c>
      <c r="F34" s="195">
        <f>Эсбыт!D33</f>
        <v>986</v>
      </c>
      <c r="G34" s="202" t="e">
        <f>#REF!</f>
        <v>#REF!</v>
      </c>
      <c r="H34" s="195">
        <f>Эсбыт!F33</f>
        <v>1020</v>
      </c>
      <c r="I34" s="202" t="e">
        <f>#REF!</f>
        <v>#REF!</v>
      </c>
      <c r="J34" s="86">
        <f>Эсбыт!H33</f>
        <v>1318</v>
      </c>
      <c r="K34" s="54" t="e">
        <f>#REF!</f>
        <v>#REF!</v>
      </c>
      <c r="L34" s="94">
        <f>Эсбыт!J33</f>
        <v>369</v>
      </c>
      <c r="M34" s="215" t="e">
        <f>#REF!</f>
        <v>#REF!</v>
      </c>
      <c r="N34" s="93">
        <f>Эсбыт!L33</f>
        <v>844</v>
      </c>
      <c r="O34" s="54" t="e">
        <f>#REF!</f>
        <v>#REF!</v>
      </c>
      <c r="P34" s="96">
        <f>Эсбыт!N33</f>
        <v>950</v>
      </c>
      <c r="Q34" s="215" t="e">
        <f>#REF!</f>
        <v>#REF!</v>
      </c>
      <c r="R34" s="93">
        <f>Эсбыт!P33</f>
        <v>875</v>
      </c>
      <c r="S34" s="54" t="e">
        <f>#REF!</f>
        <v>#REF!</v>
      </c>
      <c r="T34" s="93">
        <f>Эсбыт!R33</f>
        <v>1088</v>
      </c>
      <c r="U34" s="54"/>
      <c r="V34" s="60"/>
      <c r="W34" s="51"/>
      <c r="X34" s="66"/>
      <c r="Y34" s="47"/>
      <c r="Z34" s="37"/>
      <c r="AA34" s="47"/>
      <c r="AB34" s="37"/>
      <c r="AC34" s="31" t="e">
        <f t="shared" si="2"/>
        <v>#REF!</v>
      </c>
      <c r="AD34" s="30">
        <f t="shared" si="3"/>
        <v>7450</v>
      </c>
      <c r="AE34" s="31" t="e">
        <f t="shared" si="4"/>
        <v>#REF!</v>
      </c>
      <c r="AF34" s="13"/>
      <c r="AG34" s="13"/>
      <c r="AH34" s="13"/>
      <c r="AI34" s="13"/>
      <c r="AJ34" s="13"/>
      <c r="AK34" s="15"/>
      <c r="AL34" s="16"/>
    </row>
    <row r="35" spans="2:38" ht="12.75" customHeight="1">
      <c r="B35" s="179">
        <f t="shared" si="1"/>
        <v>29</v>
      </c>
      <c r="C35" s="45" t="s">
        <v>4</v>
      </c>
      <c r="D35" s="152">
        <v>12946.5</v>
      </c>
      <c r="E35" s="202" t="e">
        <f>#REF!</f>
        <v>#REF!</v>
      </c>
      <c r="F35" s="195">
        <f>Эсбыт!D34</f>
        <v>1852</v>
      </c>
      <c r="G35" s="202" t="e">
        <f>#REF!</f>
        <v>#REF!</v>
      </c>
      <c r="H35" s="195">
        <f>Эсбыт!F34</f>
        <v>1846</v>
      </c>
      <c r="I35" s="202" t="e">
        <f>#REF!</f>
        <v>#REF!</v>
      </c>
      <c r="J35" s="86">
        <f>Эсбыт!H34</f>
        <v>1429</v>
      </c>
      <c r="K35" s="54" t="e">
        <f>#REF!</f>
        <v>#REF!</v>
      </c>
      <c r="L35" s="94">
        <f>Эсбыт!J34</f>
        <v>1495</v>
      </c>
      <c r="M35" s="215" t="e">
        <f>#REF!</f>
        <v>#REF!</v>
      </c>
      <c r="N35" s="93">
        <f>Эсбыт!L34</f>
        <v>1591</v>
      </c>
      <c r="O35" s="54" t="e">
        <f>#REF!</f>
        <v>#REF!</v>
      </c>
      <c r="P35" s="96">
        <f>Эсбыт!N34</f>
        <v>1563</v>
      </c>
      <c r="Q35" s="215" t="e">
        <f>#REF!</f>
        <v>#REF!</v>
      </c>
      <c r="R35" s="93">
        <f>Эсбыт!P34</f>
        <v>1507</v>
      </c>
      <c r="S35" s="54" t="e">
        <f>#REF!</f>
        <v>#REF!</v>
      </c>
      <c r="T35" s="93">
        <f>Эсбыт!R34</f>
        <v>2016</v>
      </c>
      <c r="U35" s="54"/>
      <c r="V35" s="60"/>
      <c r="W35" s="51"/>
      <c r="X35" s="66"/>
      <c r="Y35" s="47"/>
      <c r="Z35" s="37"/>
      <c r="AA35" s="47"/>
      <c r="AB35" s="37"/>
      <c r="AC35" s="31" t="e">
        <f t="shared" si="2"/>
        <v>#REF!</v>
      </c>
      <c r="AD35" s="30">
        <f t="shared" si="3"/>
        <v>13299</v>
      </c>
      <c r="AE35" s="31" t="e">
        <f t="shared" si="4"/>
        <v>#REF!</v>
      </c>
      <c r="AF35" s="13"/>
      <c r="AG35" s="13"/>
      <c r="AH35" s="13"/>
      <c r="AI35" s="13"/>
      <c r="AJ35" s="13"/>
      <c r="AK35" s="15"/>
      <c r="AL35" s="13"/>
    </row>
    <row r="36" spans="2:38" ht="12.75" customHeight="1">
      <c r="B36" s="179">
        <f t="shared" si="1"/>
        <v>30</v>
      </c>
      <c r="C36" s="45" t="s">
        <v>5</v>
      </c>
      <c r="D36" s="152">
        <v>12207.7</v>
      </c>
      <c r="E36" s="202" t="e">
        <f>#REF!</f>
        <v>#REF!</v>
      </c>
      <c r="F36" s="195">
        <f>Эсбыт!D35</f>
        <v>1893</v>
      </c>
      <c r="G36" s="202" t="e">
        <f>#REF!</f>
        <v>#REF!</v>
      </c>
      <c r="H36" s="195">
        <f>Эсбыт!F35</f>
        <v>1932</v>
      </c>
      <c r="I36" s="202" t="e">
        <f>#REF!</f>
        <v>#REF!</v>
      </c>
      <c r="J36" s="86">
        <f>Эсбыт!H35</f>
        <v>517</v>
      </c>
      <c r="K36" s="54" t="e">
        <f>#REF!</f>
        <v>#REF!</v>
      </c>
      <c r="L36" s="94">
        <f>Эсбыт!J35</f>
        <v>2525</v>
      </c>
      <c r="M36" s="215" t="e">
        <f>#REF!</f>
        <v>#REF!</v>
      </c>
      <c r="N36" s="93">
        <f>Эсбыт!L35</f>
        <v>1487</v>
      </c>
      <c r="O36" s="54" t="e">
        <f>#REF!</f>
        <v>#REF!</v>
      </c>
      <c r="P36" s="96">
        <f>Эсбыт!N35</f>
        <v>1714</v>
      </c>
      <c r="Q36" s="215" t="e">
        <f>#REF!</f>
        <v>#REF!</v>
      </c>
      <c r="R36" s="93">
        <f>Эсбыт!P35</f>
        <v>1599</v>
      </c>
      <c r="S36" s="54" t="e">
        <f>#REF!</f>
        <v>#REF!</v>
      </c>
      <c r="T36" s="93">
        <f>Эсбыт!R35</f>
        <v>1920</v>
      </c>
      <c r="U36" s="54"/>
      <c r="V36" s="60"/>
      <c r="W36" s="51"/>
      <c r="X36" s="66"/>
      <c r="Y36" s="47"/>
      <c r="Z36" s="37"/>
      <c r="AA36" s="47"/>
      <c r="AB36" s="37"/>
      <c r="AC36" s="31" t="e">
        <f t="shared" si="2"/>
        <v>#REF!</v>
      </c>
      <c r="AD36" s="30">
        <f t="shared" si="3"/>
        <v>13587</v>
      </c>
      <c r="AE36" s="31" t="e">
        <f t="shared" si="4"/>
        <v>#REF!</v>
      </c>
      <c r="AF36" s="13"/>
      <c r="AG36" s="13"/>
      <c r="AH36" s="13"/>
      <c r="AI36" s="13"/>
      <c r="AJ36" s="13"/>
      <c r="AK36" s="15"/>
      <c r="AL36" s="13"/>
    </row>
    <row r="37" spans="2:38" ht="12.75" customHeight="1">
      <c r="B37" s="179">
        <f t="shared" si="1"/>
        <v>31</v>
      </c>
      <c r="C37" s="45" t="s">
        <v>6</v>
      </c>
      <c r="D37" s="152">
        <v>4902.2</v>
      </c>
      <c r="E37" s="202" t="e">
        <f>#REF!</f>
        <v>#REF!</v>
      </c>
      <c r="F37" s="195">
        <f>Эсбыт!D36</f>
        <v>715</v>
      </c>
      <c r="G37" s="202" t="e">
        <f>#REF!</f>
        <v>#REF!</v>
      </c>
      <c r="H37" s="195">
        <f>Эсбыт!F36</f>
        <v>758</v>
      </c>
      <c r="I37" s="202" t="e">
        <f>#REF!</f>
        <v>#REF!</v>
      </c>
      <c r="J37" s="86">
        <f>Эсбыт!H36</f>
        <v>693</v>
      </c>
      <c r="K37" s="54" t="e">
        <f>#REF!</f>
        <v>#REF!</v>
      </c>
      <c r="L37" s="94">
        <f>Эсбыт!J36</f>
        <v>699</v>
      </c>
      <c r="M37" s="215" t="e">
        <f>#REF!</f>
        <v>#REF!</v>
      </c>
      <c r="N37" s="93">
        <f>Эсбыт!L36</f>
        <v>602</v>
      </c>
      <c r="O37" s="54" t="e">
        <f>#REF!</f>
        <v>#REF!</v>
      </c>
      <c r="P37" s="96">
        <f>Эсбыт!N36</f>
        <v>748</v>
      </c>
      <c r="Q37" s="215" t="e">
        <f>#REF!</f>
        <v>#REF!</v>
      </c>
      <c r="R37" s="93">
        <f>Эсбыт!P36</f>
        <v>651</v>
      </c>
      <c r="S37" s="54" t="e">
        <f>#REF!</f>
        <v>#REF!</v>
      </c>
      <c r="T37" s="93">
        <f>Эсбыт!R36</f>
        <v>760</v>
      </c>
      <c r="U37" s="54"/>
      <c r="V37" s="60"/>
      <c r="W37" s="51"/>
      <c r="X37" s="66"/>
      <c r="Y37" s="47"/>
      <c r="Z37" s="37"/>
      <c r="AA37" s="47"/>
      <c r="AB37" s="37"/>
      <c r="AC37" s="31" t="e">
        <f t="shared" si="2"/>
        <v>#REF!</v>
      </c>
      <c r="AD37" s="30">
        <f t="shared" si="3"/>
        <v>5626</v>
      </c>
      <c r="AE37" s="31" t="e">
        <f t="shared" si="4"/>
        <v>#REF!</v>
      </c>
      <c r="AF37" s="13"/>
      <c r="AG37" s="13"/>
      <c r="AH37" s="13"/>
      <c r="AI37" s="13"/>
      <c r="AJ37" s="13"/>
      <c r="AK37" s="15"/>
      <c r="AL37" s="13"/>
    </row>
    <row r="38" spans="2:38" ht="12.75" customHeight="1">
      <c r="B38" s="179">
        <f t="shared" si="1"/>
        <v>32</v>
      </c>
      <c r="C38" s="45" t="s">
        <v>61</v>
      </c>
      <c r="D38" s="152">
        <v>19674.8</v>
      </c>
      <c r="E38" s="202" t="e">
        <f>#REF!</f>
        <v>#REF!</v>
      </c>
      <c r="F38" s="195">
        <f>Эсбыт!D37</f>
        <v>2936</v>
      </c>
      <c r="G38" s="202" t="e">
        <f>#REF!</f>
        <v>#REF!</v>
      </c>
      <c r="H38" s="195">
        <f>Эсбыт!F37</f>
        <v>3158</v>
      </c>
      <c r="I38" s="202" t="e">
        <f>#REF!</f>
        <v>#REF!</v>
      </c>
      <c r="J38" s="86">
        <f>Эсбыт!H37</f>
        <v>2511</v>
      </c>
      <c r="K38" s="54" t="e">
        <f>#REF!</f>
        <v>#REF!</v>
      </c>
      <c r="L38" s="94">
        <f>Эсбыт!J37</f>
        <v>2476</v>
      </c>
      <c r="M38" s="215" t="e">
        <f>#REF!</f>
        <v>#REF!</v>
      </c>
      <c r="N38" s="93">
        <f>Эсбыт!L37</f>
        <v>2682</v>
      </c>
      <c r="O38" s="54" t="e">
        <f>#REF!</f>
        <v>#REF!</v>
      </c>
      <c r="P38" s="96">
        <f>Эсбыт!N37</f>
        <v>2918</v>
      </c>
      <c r="Q38" s="215" t="e">
        <f>#REF!</f>
        <v>#REF!</v>
      </c>
      <c r="R38" s="93">
        <f>Эсбыт!P37</f>
        <v>2650</v>
      </c>
      <c r="S38" s="54" t="e">
        <f>#REF!</f>
        <v>#REF!</v>
      </c>
      <c r="T38" s="93">
        <f>Эсбыт!R37</f>
        <v>3273</v>
      </c>
      <c r="U38" s="54"/>
      <c r="V38" s="60"/>
      <c r="W38" s="51"/>
      <c r="X38" s="66"/>
      <c r="Y38" s="47"/>
      <c r="Z38" s="37"/>
      <c r="AA38" s="47"/>
      <c r="AB38" s="37"/>
      <c r="AC38" s="31" t="e">
        <f t="shared" si="2"/>
        <v>#REF!</v>
      </c>
      <c r="AD38" s="30">
        <f t="shared" si="3"/>
        <v>22604</v>
      </c>
      <c r="AE38" s="31" t="e">
        <f t="shared" si="4"/>
        <v>#REF!</v>
      </c>
      <c r="AF38" s="13"/>
      <c r="AG38" s="13"/>
      <c r="AH38" s="13"/>
      <c r="AI38" s="13"/>
      <c r="AJ38" s="13"/>
      <c r="AK38" s="15"/>
      <c r="AL38" s="13"/>
    </row>
    <row r="39" spans="2:38" ht="12.75" customHeight="1">
      <c r="B39" s="179">
        <f t="shared" si="1"/>
        <v>33</v>
      </c>
      <c r="C39" s="45" t="s">
        <v>7</v>
      </c>
      <c r="D39" s="152">
        <v>10939</v>
      </c>
      <c r="E39" s="202" t="e">
        <f>#REF!</f>
        <v>#REF!</v>
      </c>
      <c r="F39" s="195">
        <f>Эсбыт!D38</f>
        <v>1317</v>
      </c>
      <c r="G39" s="202" t="e">
        <f>#REF!</f>
        <v>#REF!</v>
      </c>
      <c r="H39" s="195">
        <f>Эсбыт!F38</f>
        <v>1324</v>
      </c>
      <c r="I39" s="202" t="e">
        <f>#REF!</f>
        <v>#REF!</v>
      </c>
      <c r="J39" s="86">
        <f>Эсбыт!H38</f>
        <v>1110</v>
      </c>
      <c r="K39" s="54" t="e">
        <f>#REF!</f>
        <v>#REF!</v>
      </c>
      <c r="L39" s="94">
        <f>Эсбыт!J38</f>
        <v>1234</v>
      </c>
      <c r="M39" s="215" t="e">
        <f>#REF!</f>
        <v>#REF!</v>
      </c>
      <c r="N39" s="93">
        <f>Эсбыт!L38</f>
        <v>1245</v>
      </c>
      <c r="O39" s="54" t="e">
        <f>#REF!</f>
        <v>#REF!</v>
      </c>
      <c r="P39" s="96">
        <f>Эсбыт!N38</f>
        <v>1431</v>
      </c>
      <c r="Q39" s="215" t="e">
        <f>#REF!</f>
        <v>#REF!</v>
      </c>
      <c r="R39" s="93">
        <f>Эсбыт!P38</f>
        <v>1175</v>
      </c>
      <c r="S39" s="54" t="e">
        <f>#REF!</f>
        <v>#REF!</v>
      </c>
      <c r="T39" s="93">
        <f>Эсбыт!R38</f>
        <v>1479</v>
      </c>
      <c r="U39" s="54"/>
      <c r="V39" s="60"/>
      <c r="W39" s="51"/>
      <c r="X39" s="66"/>
      <c r="Y39" s="47"/>
      <c r="Z39" s="37"/>
      <c r="AA39" s="47"/>
      <c r="AB39" s="37"/>
      <c r="AC39" s="31" t="e">
        <f t="shared" si="2"/>
        <v>#REF!</v>
      </c>
      <c r="AD39" s="30">
        <f t="shared" si="3"/>
        <v>10315</v>
      </c>
      <c r="AE39" s="31" t="e">
        <f t="shared" si="4"/>
        <v>#REF!</v>
      </c>
      <c r="AF39" s="13"/>
      <c r="AG39" s="13"/>
      <c r="AH39" s="13"/>
      <c r="AI39" s="13"/>
      <c r="AJ39" s="13"/>
      <c r="AK39" s="15"/>
      <c r="AL39" s="16"/>
    </row>
    <row r="40" spans="2:38" ht="12.75" customHeight="1">
      <c r="B40" s="179">
        <f t="shared" si="1"/>
        <v>34</v>
      </c>
      <c r="C40" s="45" t="s">
        <v>8</v>
      </c>
      <c r="D40" s="152">
        <v>6730.4</v>
      </c>
      <c r="E40" s="202" t="e">
        <f>#REF!</f>
        <v>#REF!</v>
      </c>
      <c r="F40" s="195">
        <f>Эсбыт!D39</f>
        <v>1009</v>
      </c>
      <c r="G40" s="202" t="e">
        <f>#REF!</f>
        <v>#REF!</v>
      </c>
      <c r="H40" s="195">
        <f>Эсбыт!F39</f>
        <v>1194</v>
      </c>
      <c r="I40" s="202" t="e">
        <f>#REF!</f>
        <v>#REF!</v>
      </c>
      <c r="J40" s="86">
        <f>Эсбыт!H39</f>
        <v>750</v>
      </c>
      <c r="K40" s="54" t="e">
        <f>#REF!</f>
        <v>#REF!</v>
      </c>
      <c r="L40" s="94">
        <f>Эсбыт!J39</f>
        <v>729</v>
      </c>
      <c r="M40" s="215" t="e">
        <f>#REF!</f>
        <v>#REF!</v>
      </c>
      <c r="N40" s="93">
        <f>Эсбыт!L39</f>
        <v>848</v>
      </c>
      <c r="O40" s="54" t="e">
        <f>#REF!</f>
        <v>#REF!</v>
      </c>
      <c r="P40" s="96">
        <f>Эсбыт!N39</f>
        <v>892</v>
      </c>
      <c r="Q40" s="215" t="e">
        <f>#REF!</f>
        <v>#REF!</v>
      </c>
      <c r="R40" s="93">
        <f>Эсбыт!P39</f>
        <v>798</v>
      </c>
      <c r="S40" s="54" t="e">
        <f>#REF!</f>
        <v>#REF!</v>
      </c>
      <c r="T40" s="93">
        <f>Эсбыт!R39</f>
        <v>955</v>
      </c>
      <c r="U40" s="54"/>
      <c r="V40" s="60"/>
      <c r="W40" s="51"/>
      <c r="X40" s="66"/>
      <c r="Y40" s="47"/>
      <c r="Z40" s="37"/>
      <c r="AA40" s="47"/>
      <c r="AB40" s="37"/>
      <c r="AC40" s="31" t="e">
        <f t="shared" si="2"/>
        <v>#REF!</v>
      </c>
      <c r="AD40" s="30">
        <f t="shared" si="3"/>
        <v>7175</v>
      </c>
      <c r="AE40" s="31" t="e">
        <f t="shared" si="4"/>
        <v>#REF!</v>
      </c>
      <c r="AF40" s="13"/>
      <c r="AG40" s="13"/>
      <c r="AH40" s="13"/>
      <c r="AI40" s="13"/>
      <c r="AJ40" s="13"/>
      <c r="AK40" s="15"/>
      <c r="AL40" s="13"/>
    </row>
    <row r="41" spans="2:38" ht="12.75" customHeight="1">
      <c r="B41" s="179">
        <f t="shared" si="1"/>
        <v>35</v>
      </c>
      <c r="C41" s="45" t="s">
        <v>9</v>
      </c>
      <c r="D41" s="152">
        <v>6586.2</v>
      </c>
      <c r="E41" s="202" t="e">
        <f>#REF!</f>
        <v>#REF!</v>
      </c>
      <c r="F41" s="195">
        <f>Эсбыт!D40</f>
        <v>960</v>
      </c>
      <c r="G41" s="202" t="e">
        <f>#REF!</f>
        <v>#REF!</v>
      </c>
      <c r="H41" s="195">
        <f>Эсбыт!F40</f>
        <v>1016</v>
      </c>
      <c r="I41" s="202" t="e">
        <f>#REF!</f>
        <v>#REF!</v>
      </c>
      <c r="J41" s="86">
        <f>Эсбыт!H40</f>
        <v>807</v>
      </c>
      <c r="K41" s="54" t="e">
        <f>#REF!</f>
        <v>#REF!</v>
      </c>
      <c r="L41" s="94">
        <f>Эсбыт!J40</f>
        <v>844</v>
      </c>
      <c r="M41" s="215" t="e">
        <f>#REF!</f>
        <v>#REF!</v>
      </c>
      <c r="N41" s="93">
        <f>Эсбыт!L40</f>
        <v>830</v>
      </c>
      <c r="O41" s="54" t="e">
        <f>#REF!</f>
        <v>#REF!</v>
      </c>
      <c r="P41" s="96">
        <f>Эсбыт!N40</f>
        <v>991</v>
      </c>
      <c r="Q41" s="215" t="e">
        <f>#REF!</f>
        <v>#REF!</v>
      </c>
      <c r="R41" s="93">
        <f>Эсбыт!P40</f>
        <v>848</v>
      </c>
      <c r="S41" s="54" t="e">
        <f>#REF!</f>
        <v>#REF!</v>
      </c>
      <c r="T41" s="93">
        <f>Эсбыт!R40</f>
        <v>1098</v>
      </c>
      <c r="U41" s="54"/>
      <c r="V41" s="60"/>
      <c r="W41" s="51"/>
      <c r="X41" s="66"/>
      <c r="Y41" s="47"/>
      <c r="Z41" s="37"/>
      <c r="AA41" s="47"/>
      <c r="AB41" s="37"/>
      <c r="AC41" s="31" t="e">
        <f t="shared" si="2"/>
        <v>#REF!</v>
      </c>
      <c r="AD41" s="30">
        <f t="shared" si="3"/>
        <v>7394</v>
      </c>
      <c r="AE41" s="31" t="e">
        <f t="shared" si="4"/>
        <v>#REF!</v>
      </c>
      <c r="AF41" s="13"/>
      <c r="AG41" s="13"/>
      <c r="AH41" s="13"/>
      <c r="AI41" s="13"/>
      <c r="AJ41" s="13"/>
      <c r="AK41" s="15"/>
      <c r="AL41" s="13"/>
    </row>
    <row r="42" spans="2:38" ht="12.75" customHeight="1">
      <c r="B42" s="179">
        <f t="shared" si="1"/>
        <v>36</v>
      </c>
      <c r="C42" s="45" t="s">
        <v>10</v>
      </c>
      <c r="D42" s="152">
        <v>2378.8</v>
      </c>
      <c r="E42" s="202" t="e">
        <f>#REF!</f>
        <v>#REF!</v>
      </c>
      <c r="F42" s="195">
        <f>Эсбыт!D41</f>
        <v>397</v>
      </c>
      <c r="G42" s="202" t="e">
        <f>#REF!</f>
        <v>#REF!</v>
      </c>
      <c r="H42" s="195">
        <f>Эсбыт!F41</f>
        <v>631</v>
      </c>
      <c r="I42" s="202" t="e">
        <f>#REF!</f>
        <v>#REF!</v>
      </c>
      <c r="J42" s="86">
        <f>Эсбыт!H41</f>
        <v>446</v>
      </c>
      <c r="K42" s="54" t="e">
        <f>#REF!</f>
        <v>#REF!</v>
      </c>
      <c r="L42" s="94">
        <f>Эсбыт!J41</f>
        <v>315</v>
      </c>
      <c r="M42" s="215" t="e">
        <f>#REF!</f>
        <v>#REF!</v>
      </c>
      <c r="N42" s="93">
        <f>Эсбыт!L41</f>
        <v>315</v>
      </c>
      <c r="O42" s="54" t="e">
        <f>#REF!</f>
        <v>#REF!</v>
      </c>
      <c r="P42" s="96">
        <f>Эсбыт!N41</f>
        <v>374</v>
      </c>
      <c r="Q42" s="215" t="e">
        <f>#REF!</f>
        <v>#REF!</v>
      </c>
      <c r="R42" s="93">
        <f>Эсбыт!P41</f>
        <v>336</v>
      </c>
      <c r="S42" s="54" t="e">
        <f>#REF!</f>
        <v>#REF!</v>
      </c>
      <c r="T42" s="93">
        <f>Эсбыт!R41</f>
        <v>418</v>
      </c>
      <c r="U42" s="54"/>
      <c r="V42" s="70"/>
      <c r="W42" s="51"/>
      <c r="X42" s="66"/>
      <c r="Y42" s="47"/>
      <c r="Z42" s="37"/>
      <c r="AA42" s="47"/>
      <c r="AB42" s="37"/>
      <c r="AC42" s="31" t="e">
        <f t="shared" si="2"/>
        <v>#REF!</v>
      </c>
      <c r="AD42" s="30">
        <f t="shared" si="3"/>
        <v>3232</v>
      </c>
      <c r="AE42" s="31" t="e">
        <f t="shared" si="4"/>
        <v>#REF!</v>
      </c>
      <c r="AF42" s="13"/>
      <c r="AG42" s="13"/>
      <c r="AH42" s="13"/>
      <c r="AI42" s="13"/>
      <c r="AJ42" s="13"/>
      <c r="AK42" s="15"/>
      <c r="AL42" s="13"/>
    </row>
    <row r="43" spans="2:38" ht="12.75" customHeight="1">
      <c r="B43" s="179">
        <f t="shared" si="1"/>
        <v>37</v>
      </c>
      <c r="C43" s="45" t="s">
        <v>11</v>
      </c>
      <c r="D43" s="152">
        <v>7175.7</v>
      </c>
      <c r="E43" s="202" t="e">
        <f>#REF!</f>
        <v>#REF!</v>
      </c>
      <c r="F43" s="195">
        <f>Эсбыт!D45</f>
        <v>904</v>
      </c>
      <c r="G43" s="202" t="e">
        <f>#REF!</f>
        <v>#REF!</v>
      </c>
      <c r="H43" s="195">
        <f>Эсбыт!F45</f>
        <v>875</v>
      </c>
      <c r="I43" s="202" t="e">
        <f>#REF!</f>
        <v>#REF!</v>
      </c>
      <c r="J43" s="86">
        <f>Эсбыт!H45</f>
        <v>796</v>
      </c>
      <c r="K43" s="54" t="e">
        <f>#REF!</f>
        <v>#REF!</v>
      </c>
      <c r="L43" s="94">
        <f>Эсбыт!J45</f>
        <v>755</v>
      </c>
      <c r="M43" s="215" t="e">
        <f>#REF!</f>
        <v>#REF!</v>
      </c>
      <c r="N43" s="93">
        <f>Эсбыт!L45</f>
        <v>860</v>
      </c>
      <c r="O43" s="54" t="e">
        <f>#REF!</f>
        <v>#REF!</v>
      </c>
      <c r="P43" s="96">
        <f>Эсбыт!N45</f>
        <v>750</v>
      </c>
      <c r="Q43" s="215" t="e">
        <f>#REF!</f>
        <v>#REF!</v>
      </c>
      <c r="R43" s="93">
        <f>Эсбыт!P45</f>
        <v>864</v>
      </c>
      <c r="S43" s="54" t="e">
        <f>#REF!</f>
        <v>#REF!</v>
      </c>
      <c r="T43" s="93">
        <f>Эсбыт!R45</f>
        <v>932</v>
      </c>
      <c r="U43" s="54"/>
      <c r="V43" s="60"/>
      <c r="W43" s="51"/>
      <c r="X43" s="66"/>
      <c r="Y43" s="47"/>
      <c r="Z43" s="37"/>
      <c r="AA43" s="47"/>
      <c r="AB43" s="37"/>
      <c r="AC43" s="31" t="e">
        <f t="shared" si="2"/>
        <v>#REF!</v>
      </c>
      <c r="AD43" s="30">
        <f t="shared" si="3"/>
        <v>6736</v>
      </c>
      <c r="AE43" s="31" t="e">
        <f t="shared" si="4"/>
        <v>#REF!</v>
      </c>
      <c r="AF43" s="13"/>
      <c r="AG43" s="13"/>
      <c r="AH43" s="13"/>
      <c r="AI43" s="13"/>
      <c r="AJ43" s="13"/>
      <c r="AK43" s="15"/>
      <c r="AL43" s="13"/>
    </row>
    <row r="44" spans="2:38" ht="12.75" customHeight="1">
      <c r="B44" s="179">
        <f t="shared" si="1"/>
        <v>38</v>
      </c>
      <c r="C44" s="186" t="s">
        <v>55</v>
      </c>
      <c r="D44" s="153">
        <v>4256.7</v>
      </c>
      <c r="E44" s="105" t="e">
        <f>#REF!</f>
        <v>#REF!</v>
      </c>
      <c r="F44" s="108">
        <f>Эсбыт!D46</f>
        <v>616</v>
      </c>
      <c r="G44" s="105" t="e">
        <f>#REF!</f>
        <v>#REF!</v>
      </c>
      <c r="H44" s="108">
        <f>Эсбыт!F46</f>
        <v>659</v>
      </c>
      <c r="I44" s="105" t="e">
        <f>#REF!</f>
        <v>#REF!</v>
      </c>
      <c r="J44" s="106">
        <f>Эсбыт!H46</f>
        <v>695</v>
      </c>
      <c r="K44" s="105" t="e">
        <f>#REF!</f>
        <v>#REF!</v>
      </c>
      <c r="L44" s="107">
        <f>Эсбыт!J46</f>
        <v>606</v>
      </c>
      <c r="M44" s="105" t="e">
        <f>#REF!</f>
        <v>#REF!</v>
      </c>
      <c r="N44" s="106">
        <f>Эсбыт!L46</f>
        <v>711</v>
      </c>
      <c r="O44" s="105" t="e">
        <f>#REF!</f>
        <v>#REF!</v>
      </c>
      <c r="P44" s="108">
        <f>Эсбыт!N46</f>
        <v>657</v>
      </c>
      <c r="Q44" s="116" t="e">
        <f>#REF!</f>
        <v>#REF!</v>
      </c>
      <c r="R44" s="148">
        <f>Эсбыт!P46</f>
        <v>730</v>
      </c>
      <c r="S44" s="116" t="e">
        <f>#REF!</f>
        <v>#REF!</v>
      </c>
      <c r="T44" s="148">
        <f>Эсбыт!R46</f>
        <v>703</v>
      </c>
      <c r="U44" s="105"/>
      <c r="V44" s="109"/>
      <c r="W44" s="110"/>
      <c r="X44" s="111"/>
      <c r="Y44" s="112"/>
      <c r="Z44" s="113"/>
      <c r="AA44" s="112"/>
      <c r="AB44" s="113"/>
      <c r="AC44" s="114" t="e">
        <f t="shared" si="2"/>
        <v>#REF!</v>
      </c>
      <c r="AD44" s="115">
        <f t="shared" si="3"/>
        <v>5377</v>
      </c>
      <c r="AE44" s="114" t="e">
        <f t="shared" si="4"/>
        <v>#REF!</v>
      </c>
      <c r="AF44" s="13"/>
      <c r="AG44" s="13"/>
      <c r="AH44" s="13"/>
      <c r="AI44" s="13"/>
      <c r="AJ44" s="13"/>
      <c r="AK44" s="15"/>
      <c r="AL44" s="13"/>
    </row>
    <row r="45" spans="2:38" ht="12.75" customHeight="1">
      <c r="B45" s="179">
        <f t="shared" si="1"/>
        <v>39</v>
      </c>
      <c r="C45" s="45" t="s">
        <v>12</v>
      </c>
      <c r="D45" s="152">
        <v>5797</v>
      </c>
      <c r="E45" s="202" t="e">
        <f>#REF!</f>
        <v>#REF!</v>
      </c>
      <c r="F45" s="195">
        <f>Эсбыт!D47</f>
        <v>728</v>
      </c>
      <c r="G45" s="202" t="e">
        <f>#REF!</f>
        <v>#REF!</v>
      </c>
      <c r="H45" s="195">
        <f>Эсбыт!F47</f>
        <v>728</v>
      </c>
      <c r="I45" s="202" t="e">
        <f>#REF!</f>
        <v>#REF!</v>
      </c>
      <c r="J45" s="86">
        <f>Эсбыт!H47</f>
        <v>727</v>
      </c>
      <c r="K45" s="54" t="e">
        <f>#REF!</f>
        <v>#REF!</v>
      </c>
      <c r="L45" s="94">
        <f>Эсбыт!J47</f>
        <v>563</v>
      </c>
      <c r="M45" s="215" t="e">
        <f>#REF!</f>
        <v>#REF!</v>
      </c>
      <c r="N45" s="93">
        <f>Эсбыт!L47</f>
        <v>655</v>
      </c>
      <c r="O45" s="54" t="e">
        <f>#REF!</f>
        <v>#REF!</v>
      </c>
      <c r="P45" s="96">
        <f>Эсбыт!N47</f>
        <v>585</v>
      </c>
      <c r="Q45" s="215" t="e">
        <f>#REF!</f>
        <v>#REF!</v>
      </c>
      <c r="R45" s="93">
        <f>Эсбыт!P47</f>
        <v>731</v>
      </c>
      <c r="S45" s="54" t="e">
        <f>#REF!</f>
        <v>#REF!</v>
      </c>
      <c r="T45" s="93">
        <f>Эсбыт!R47</f>
        <v>712</v>
      </c>
      <c r="U45" s="54"/>
      <c r="V45" s="60"/>
      <c r="W45" s="51"/>
      <c r="X45" s="66"/>
      <c r="Y45" s="47"/>
      <c r="Z45" s="37"/>
      <c r="AA45" s="47"/>
      <c r="AB45" s="37"/>
      <c r="AC45" s="31" t="e">
        <f t="shared" si="2"/>
        <v>#REF!</v>
      </c>
      <c r="AD45" s="30">
        <f t="shared" si="3"/>
        <v>5429</v>
      </c>
      <c r="AE45" s="31" t="e">
        <f t="shared" si="4"/>
        <v>#REF!</v>
      </c>
      <c r="AF45" s="13"/>
      <c r="AG45" s="13"/>
      <c r="AH45" s="13"/>
      <c r="AI45" s="13"/>
      <c r="AJ45" s="13"/>
      <c r="AK45" s="15"/>
      <c r="AL45" s="13"/>
    </row>
    <row r="46" spans="2:38" ht="12.75" customHeight="1">
      <c r="B46" s="179">
        <f t="shared" si="1"/>
        <v>40</v>
      </c>
      <c r="C46" s="45" t="s">
        <v>80</v>
      </c>
      <c r="D46" s="152">
        <v>5325.4</v>
      </c>
      <c r="E46" s="202" t="e">
        <f>#REF!</f>
        <v>#REF!</v>
      </c>
      <c r="F46" s="195">
        <f>Эсбыт!D48</f>
        <v>869</v>
      </c>
      <c r="G46" s="202" t="e">
        <f>#REF!</f>
        <v>#REF!</v>
      </c>
      <c r="H46" s="195">
        <f>Эсбыт!F48</f>
        <v>907</v>
      </c>
      <c r="I46" s="202" t="e">
        <f>#REF!</f>
        <v>#REF!</v>
      </c>
      <c r="J46" s="86">
        <f>Эсбыт!H48</f>
        <v>992</v>
      </c>
      <c r="K46" s="54" t="e">
        <f>#REF!</f>
        <v>#REF!</v>
      </c>
      <c r="L46" s="94">
        <f>Эсбыт!J48</f>
        <v>825</v>
      </c>
      <c r="M46" s="215" t="e">
        <f>#REF!</f>
        <v>#REF!</v>
      </c>
      <c r="N46" s="93">
        <f>Эсбыт!L48</f>
        <v>977</v>
      </c>
      <c r="O46" s="54" t="e">
        <f>#REF!</f>
        <v>#REF!</v>
      </c>
      <c r="P46" s="96">
        <f>Эсбыт!N48</f>
        <v>833</v>
      </c>
      <c r="Q46" s="215" t="e">
        <f>#REF!</f>
        <v>#REF!</v>
      </c>
      <c r="R46" s="93">
        <f>Эсбыт!P48</f>
        <v>985</v>
      </c>
      <c r="S46" s="54" t="e">
        <f>#REF!</f>
        <v>#REF!</v>
      </c>
      <c r="T46" s="93">
        <f>Эсбыт!R48</f>
        <v>923</v>
      </c>
      <c r="U46" s="54"/>
      <c r="V46" s="60"/>
      <c r="W46" s="51"/>
      <c r="X46" s="66"/>
      <c r="Y46" s="47"/>
      <c r="Z46" s="37"/>
      <c r="AA46" s="47"/>
      <c r="AB46" s="37"/>
      <c r="AC46" s="31" t="e">
        <f t="shared" si="2"/>
        <v>#REF!</v>
      </c>
      <c r="AD46" s="30">
        <f t="shared" si="3"/>
        <v>7311</v>
      </c>
      <c r="AE46" s="31" t="e">
        <f t="shared" si="4"/>
        <v>#REF!</v>
      </c>
      <c r="AF46" s="13"/>
      <c r="AG46" s="13"/>
      <c r="AH46" s="13"/>
      <c r="AI46" s="13"/>
      <c r="AJ46" s="13"/>
      <c r="AK46" s="15"/>
      <c r="AL46" s="13"/>
    </row>
    <row r="47" spans="2:38" ht="12.75" customHeight="1">
      <c r="B47" s="179">
        <f t="shared" si="1"/>
        <v>41</v>
      </c>
      <c r="C47" s="189" t="s">
        <v>13</v>
      </c>
      <c r="D47" s="152">
        <v>11675.3</v>
      </c>
      <c r="E47" s="204" t="e">
        <f>#REF!</f>
        <v>#REF!</v>
      </c>
      <c r="F47" s="197">
        <f>Эсбыт!D49</f>
        <v>1758</v>
      </c>
      <c r="G47" s="204" t="e">
        <f>#REF!</f>
        <v>#REF!</v>
      </c>
      <c r="H47" s="197">
        <f>Эсбыт!F49</f>
        <v>1649</v>
      </c>
      <c r="I47" s="204" t="e">
        <f>#REF!</f>
        <v>#REF!</v>
      </c>
      <c r="J47" s="95">
        <f>Эсбыт!H49</f>
        <v>1702</v>
      </c>
      <c r="K47" s="55" t="e">
        <f>#REF!</f>
        <v>#REF!</v>
      </c>
      <c r="L47" s="117">
        <f>Эсбыт!J49</f>
        <v>1751</v>
      </c>
      <c r="M47" s="55" t="e">
        <f>#REF!</f>
        <v>#REF!</v>
      </c>
      <c r="N47" s="145">
        <f>Эсбыт!L49</f>
        <v>1881</v>
      </c>
      <c r="O47" s="55" t="e">
        <f>#REF!</f>
        <v>#REF!</v>
      </c>
      <c r="P47" s="118">
        <f>Эсбыт!N49</f>
        <v>1675</v>
      </c>
      <c r="Q47" s="55" t="e">
        <f>#REF!</f>
        <v>#REF!</v>
      </c>
      <c r="R47" s="145">
        <f>Эсбыт!P49</f>
        <v>2132</v>
      </c>
      <c r="S47" s="55" t="e">
        <f>#REF!</f>
        <v>#REF!</v>
      </c>
      <c r="T47" s="145">
        <f>Эсбыт!R49</f>
        <v>2073</v>
      </c>
      <c r="U47" s="55"/>
      <c r="V47" s="63"/>
      <c r="W47" s="51"/>
      <c r="X47" s="68"/>
      <c r="Y47" s="57"/>
      <c r="Z47" s="38"/>
      <c r="AA47" s="57"/>
      <c r="AB47" s="38"/>
      <c r="AC47" s="119" t="e">
        <f t="shared" si="2"/>
        <v>#REF!</v>
      </c>
      <c r="AD47" s="120">
        <f t="shared" si="3"/>
        <v>14621</v>
      </c>
      <c r="AE47" s="119" t="e">
        <f t="shared" si="4"/>
        <v>#REF!</v>
      </c>
      <c r="AF47" s="13"/>
      <c r="AG47" s="13"/>
      <c r="AH47" s="13"/>
      <c r="AI47" s="13"/>
      <c r="AJ47" s="13"/>
      <c r="AK47" s="15"/>
      <c r="AL47" s="16"/>
    </row>
    <row r="48" spans="2:38" ht="12.75" customHeight="1">
      <c r="B48" s="179">
        <f t="shared" si="1"/>
        <v>42</v>
      </c>
      <c r="C48" s="187" t="s">
        <v>14</v>
      </c>
      <c r="D48" s="154">
        <v>3803.7</v>
      </c>
      <c r="E48" s="202" t="e">
        <f>#REF!</f>
        <v>#REF!</v>
      </c>
      <c r="F48" s="195">
        <f>Эсбыт!D50</f>
        <v>653</v>
      </c>
      <c r="G48" s="202" t="e">
        <f>#REF!</f>
        <v>#REF!</v>
      </c>
      <c r="H48" s="195">
        <f>Эсбыт!F50</f>
        <v>621</v>
      </c>
      <c r="I48" s="202" t="e">
        <f>#REF!</f>
        <v>#REF!</v>
      </c>
      <c r="J48" s="86">
        <f>Эсбыт!H50</f>
        <v>661</v>
      </c>
      <c r="K48" s="54" t="e">
        <f>#REF!</f>
        <v>#REF!</v>
      </c>
      <c r="L48" s="94">
        <f>Эсбыт!J50</f>
        <v>550</v>
      </c>
      <c r="M48" s="215" t="e">
        <f>#REF!</f>
        <v>#REF!</v>
      </c>
      <c r="N48" s="93">
        <f>Эсбыт!L50</f>
        <v>644</v>
      </c>
      <c r="O48" s="54" t="e">
        <f>#REF!</f>
        <v>#REF!</v>
      </c>
      <c r="P48" s="96">
        <f>Эсбыт!N50</f>
        <v>595</v>
      </c>
      <c r="Q48" s="215" t="e">
        <f>#REF!</f>
        <v>#REF!</v>
      </c>
      <c r="R48" s="93">
        <f>Эсбыт!P50</f>
        <v>724</v>
      </c>
      <c r="S48" s="54" t="e">
        <f>#REF!</f>
        <v>#REF!</v>
      </c>
      <c r="T48" s="93">
        <f>Эсбыт!R50</f>
        <v>681</v>
      </c>
      <c r="U48" s="56"/>
      <c r="V48" s="64"/>
      <c r="W48" s="50"/>
      <c r="X48" s="69"/>
      <c r="Y48" s="58"/>
      <c r="Z48" s="37"/>
      <c r="AA48" s="58"/>
      <c r="AB48" s="37"/>
      <c r="AC48" s="29" t="e">
        <f t="shared" si="2"/>
        <v>#REF!</v>
      </c>
      <c r="AD48" s="28">
        <f t="shared" si="3"/>
        <v>5129</v>
      </c>
      <c r="AE48" s="31" t="e">
        <f t="shared" si="4"/>
        <v>#REF!</v>
      </c>
      <c r="AF48" s="13"/>
      <c r="AG48" s="13"/>
      <c r="AH48" s="13"/>
      <c r="AI48" s="13"/>
      <c r="AJ48" s="13"/>
      <c r="AK48" s="15"/>
      <c r="AL48" s="13"/>
    </row>
    <row r="49" spans="2:38" ht="12.75" customHeight="1">
      <c r="B49" s="179">
        <f t="shared" si="1"/>
        <v>43</v>
      </c>
      <c r="C49" s="185" t="s">
        <v>15</v>
      </c>
      <c r="D49" s="152">
        <v>13733.1</v>
      </c>
      <c r="E49" s="204" t="e">
        <f>#REF!</f>
        <v>#REF!</v>
      </c>
      <c r="F49" s="197">
        <f>Эсбыт!D51</f>
        <v>1941</v>
      </c>
      <c r="G49" s="204" t="e">
        <f>#REF!</f>
        <v>#REF!</v>
      </c>
      <c r="H49" s="197">
        <f>Эсбыт!F51</f>
        <v>2540</v>
      </c>
      <c r="I49" s="204" t="e">
        <f>#REF!</f>
        <v>#REF!</v>
      </c>
      <c r="J49" s="95">
        <f>Эсбыт!H51</f>
        <v>1756</v>
      </c>
      <c r="K49" s="55" t="e">
        <f>#REF!</f>
        <v>#REF!</v>
      </c>
      <c r="L49" s="117">
        <f>Эсбыт!J51</f>
        <v>1962</v>
      </c>
      <c r="M49" s="55" t="e">
        <f>#REF!</f>
        <v>#REF!</v>
      </c>
      <c r="N49" s="145">
        <f>Эсбыт!L51</f>
        <v>1795</v>
      </c>
      <c r="O49" s="55" t="e">
        <f>#REF!</f>
        <v>#REF!</v>
      </c>
      <c r="P49" s="118">
        <f>Эсбыт!N51</f>
        <v>2032</v>
      </c>
      <c r="Q49" s="55" t="e">
        <f>#REF!</f>
        <v>#REF!</v>
      </c>
      <c r="R49" s="145">
        <f>Эсбыт!P51</f>
        <v>1989</v>
      </c>
      <c r="S49" s="54" t="e">
        <f>#REF!</f>
        <v>#REF!</v>
      </c>
      <c r="T49" s="93">
        <f>Эсбыт!R51</f>
        <v>2015</v>
      </c>
      <c r="U49" s="55"/>
      <c r="V49" s="63"/>
      <c r="W49" s="51"/>
      <c r="X49" s="68"/>
      <c r="Y49" s="57"/>
      <c r="Z49" s="38"/>
      <c r="AA49" s="57"/>
      <c r="AB49" s="38"/>
      <c r="AC49" s="119" t="e">
        <f t="shared" si="2"/>
        <v>#REF!</v>
      </c>
      <c r="AD49" s="120">
        <f t="shared" si="3"/>
        <v>16030</v>
      </c>
      <c r="AE49" s="119" t="e">
        <f t="shared" si="4"/>
        <v>#REF!</v>
      </c>
      <c r="AF49" s="13"/>
      <c r="AG49" s="13"/>
      <c r="AH49" s="13"/>
      <c r="AI49" s="13"/>
      <c r="AJ49" s="13"/>
      <c r="AK49" s="15"/>
      <c r="AL49" s="13"/>
    </row>
    <row r="50" spans="2:38" ht="12.75" customHeight="1">
      <c r="B50" s="179">
        <f t="shared" si="1"/>
        <v>44</v>
      </c>
      <c r="C50" s="188" t="s">
        <v>16</v>
      </c>
      <c r="D50" s="152">
        <v>8981.6</v>
      </c>
      <c r="E50" s="203" t="e">
        <f>#REF!</f>
        <v>#REF!</v>
      </c>
      <c r="F50" s="196">
        <f>Эсбыт!D52</f>
        <v>1220</v>
      </c>
      <c r="G50" s="203" t="e">
        <f>#REF!</f>
        <v>#REF!</v>
      </c>
      <c r="H50" s="196">
        <f>Эсбыт!F52</f>
        <v>1346</v>
      </c>
      <c r="I50" s="203" t="e">
        <f>#REF!</f>
        <v>#REF!</v>
      </c>
      <c r="J50" s="122">
        <f>Эсбыт!H52</f>
        <v>1146</v>
      </c>
      <c r="K50" s="133" t="e">
        <f>#REF!</f>
        <v>#REF!</v>
      </c>
      <c r="L50" s="123">
        <f>Эсбыт!J52</f>
        <v>1162</v>
      </c>
      <c r="M50" s="133" t="e">
        <f>#REF!</f>
        <v>#REF!</v>
      </c>
      <c r="N50" s="125">
        <f>Эсбыт!L52</f>
        <v>1017</v>
      </c>
      <c r="O50" s="133" t="e">
        <f>#REF!</f>
        <v>#REF!</v>
      </c>
      <c r="P50" s="124">
        <f>Эсбыт!N52</f>
        <v>1153</v>
      </c>
      <c r="Q50" s="133" t="e">
        <f>#REF!</f>
        <v>#REF!</v>
      </c>
      <c r="R50" s="125">
        <f>Эсбыт!P52</f>
        <v>1274</v>
      </c>
      <c r="S50" s="133" t="e">
        <f>#REF!</f>
        <v>#REF!</v>
      </c>
      <c r="T50" s="125">
        <f>Эсбыт!R52</f>
        <v>1297</v>
      </c>
      <c r="U50" s="133"/>
      <c r="V50" s="128"/>
      <c r="W50" s="129"/>
      <c r="X50" s="126"/>
      <c r="Y50" s="127"/>
      <c r="Z50" s="130"/>
      <c r="AA50" s="127"/>
      <c r="AB50" s="130"/>
      <c r="AC50" s="131" t="e">
        <f t="shared" si="2"/>
        <v>#REF!</v>
      </c>
      <c r="AD50" s="132">
        <f t="shared" si="3"/>
        <v>9615</v>
      </c>
      <c r="AE50" s="131" t="e">
        <f t="shared" si="4"/>
        <v>#REF!</v>
      </c>
      <c r="AF50" s="13"/>
      <c r="AG50" s="13"/>
      <c r="AH50" s="13"/>
      <c r="AI50" s="13"/>
      <c r="AJ50" s="13"/>
      <c r="AK50" s="15"/>
      <c r="AL50" s="13"/>
    </row>
    <row r="51" spans="2:38" ht="12.75" customHeight="1">
      <c r="B51" s="179">
        <f t="shared" si="1"/>
        <v>45</v>
      </c>
      <c r="C51" s="45" t="s">
        <v>17</v>
      </c>
      <c r="D51" s="152">
        <v>4789.4</v>
      </c>
      <c r="E51" s="202" t="e">
        <f>#REF!</f>
        <v>#REF!</v>
      </c>
      <c r="F51" s="195">
        <f>Эсбыт!D55</f>
        <v>751</v>
      </c>
      <c r="G51" s="202" t="e">
        <f>#REF!</f>
        <v>#REF!</v>
      </c>
      <c r="H51" s="195">
        <f>Эсбыт!F55</f>
        <v>978</v>
      </c>
      <c r="I51" s="202" t="e">
        <f>#REF!</f>
        <v>#REF!</v>
      </c>
      <c r="J51" s="86">
        <f>Эсбыт!H55</f>
        <v>1067</v>
      </c>
      <c r="K51" s="54" t="e">
        <f>#REF!</f>
        <v>#REF!</v>
      </c>
      <c r="L51" s="94">
        <f>Эсбыт!J55</f>
        <v>913</v>
      </c>
      <c r="M51" s="215" t="e">
        <f>#REF!</f>
        <v>#REF!</v>
      </c>
      <c r="N51" s="93">
        <f>Эсбыт!L55</f>
        <v>570</v>
      </c>
      <c r="O51" s="54" t="e">
        <f>#REF!</f>
        <v>#REF!</v>
      </c>
      <c r="P51" s="96">
        <f>Эсбыт!N55</f>
        <v>663</v>
      </c>
      <c r="Q51" s="215" t="e">
        <f>#REF!</f>
        <v>#REF!</v>
      </c>
      <c r="R51" s="93">
        <f>Эсбыт!P55</f>
        <v>752</v>
      </c>
      <c r="S51" s="54" t="e">
        <f>#REF!</f>
        <v>#REF!</v>
      </c>
      <c r="T51" s="93">
        <f>Эсбыт!R55</f>
        <v>719</v>
      </c>
      <c r="U51" s="54"/>
      <c r="V51" s="60"/>
      <c r="W51" s="51"/>
      <c r="X51" s="66"/>
      <c r="Y51" s="47"/>
      <c r="Z51" s="37"/>
      <c r="AA51" s="47"/>
      <c r="AB51" s="37"/>
      <c r="AC51" s="31" t="e">
        <f t="shared" si="2"/>
        <v>#REF!</v>
      </c>
      <c r="AD51" s="30">
        <f t="shared" si="3"/>
        <v>6413</v>
      </c>
      <c r="AE51" s="31" t="e">
        <f t="shared" si="4"/>
        <v>#REF!</v>
      </c>
      <c r="AF51" s="13"/>
      <c r="AG51" s="13"/>
      <c r="AH51" s="13"/>
      <c r="AI51" s="13"/>
      <c r="AJ51" s="13"/>
      <c r="AK51" s="15"/>
      <c r="AL51" s="13"/>
    </row>
    <row r="52" spans="2:38" ht="12.75" customHeight="1">
      <c r="B52" s="179">
        <f t="shared" si="1"/>
        <v>46</v>
      </c>
      <c r="C52" s="189" t="s">
        <v>18</v>
      </c>
      <c r="D52" s="152">
        <v>5273.8</v>
      </c>
      <c r="E52" s="204" t="e">
        <f>#REF!</f>
        <v>#REF!</v>
      </c>
      <c r="F52" s="197">
        <f>Эсбыт!D56</f>
        <v>727</v>
      </c>
      <c r="G52" s="204" t="e">
        <f>#REF!</f>
        <v>#REF!</v>
      </c>
      <c r="H52" s="197">
        <f>Эсбыт!F56</f>
        <v>350</v>
      </c>
      <c r="I52" s="204" t="e">
        <f>#REF!</f>
        <v>#REF!</v>
      </c>
      <c r="J52" s="95">
        <f>Эсбыт!H56</f>
        <v>763</v>
      </c>
      <c r="K52" s="55" t="e">
        <f>#REF!</f>
        <v>#REF!</v>
      </c>
      <c r="L52" s="117">
        <f>Эсбыт!J56</f>
        <v>938</v>
      </c>
      <c r="M52" s="55" t="e">
        <f>#REF!</f>
        <v>#REF!</v>
      </c>
      <c r="N52" s="145">
        <f>Эсбыт!L56</f>
        <v>777</v>
      </c>
      <c r="O52" s="55" t="e">
        <f>#REF!</f>
        <v>#REF!</v>
      </c>
      <c r="P52" s="118">
        <f>Эсбыт!N56</f>
        <v>858</v>
      </c>
      <c r="Q52" s="215" t="e">
        <f>#REF!</f>
        <v>#REF!</v>
      </c>
      <c r="R52" s="93">
        <f>Эсбыт!P56</f>
        <v>924</v>
      </c>
      <c r="S52" s="54" t="e">
        <f>#REF!</f>
        <v>#REF!</v>
      </c>
      <c r="T52" s="93">
        <f>Эсбыт!R56</f>
        <v>901</v>
      </c>
      <c r="U52" s="55"/>
      <c r="V52" s="63"/>
      <c r="W52" s="51"/>
      <c r="X52" s="68"/>
      <c r="Y52" s="57"/>
      <c r="Z52" s="38"/>
      <c r="AA52" s="57"/>
      <c r="AB52" s="38"/>
      <c r="AC52" s="119" t="e">
        <f t="shared" si="2"/>
        <v>#REF!</v>
      </c>
      <c r="AD52" s="120">
        <f t="shared" si="3"/>
        <v>6238</v>
      </c>
      <c r="AE52" s="119" t="e">
        <f t="shared" si="4"/>
        <v>#REF!</v>
      </c>
      <c r="AF52" s="13"/>
      <c r="AG52" s="13"/>
      <c r="AH52" s="13"/>
      <c r="AI52" s="13"/>
      <c r="AJ52" s="13"/>
      <c r="AK52" s="15"/>
      <c r="AL52" s="16"/>
    </row>
    <row r="53" spans="2:38" ht="12.75" customHeight="1">
      <c r="B53" s="179">
        <f t="shared" si="1"/>
        <v>47</v>
      </c>
      <c r="C53" s="45" t="s">
        <v>19</v>
      </c>
      <c r="D53" s="152">
        <v>11125.8</v>
      </c>
      <c r="E53" s="202" t="e">
        <f>#REF!</f>
        <v>#REF!</v>
      </c>
      <c r="F53" s="195">
        <f>Эсбыт!D57</f>
        <v>1845</v>
      </c>
      <c r="G53" s="202" t="e">
        <f>#REF!</f>
        <v>#REF!</v>
      </c>
      <c r="H53" s="195">
        <f>Эсбыт!F57</f>
        <v>2216</v>
      </c>
      <c r="I53" s="202" t="e">
        <f>#REF!</f>
        <v>#REF!</v>
      </c>
      <c r="J53" s="86">
        <f>Эсбыт!H57</f>
        <v>1561</v>
      </c>
      <c r="K53" s="54" t="e">
        <f>#REF!</f>
        <v>#REF!</v>
      </c>
      <c r="L53" s="94">
        <f>Эсбыт!J57</f>
        <v>1540</v>
      </c>
      <c r="M53" s="215" t="e">
        <f>#REF!</f>
        <v>#REF!</v>
      </c>
      <c r="N53" s="93">
        <f>Эсбыт!L57</f>
        <v>1543</v>
      </c>
      <c r="O53" s="54" t="e">
        <f>#REF!</f>
        <v>#REF!</v>
      </c>
      <c r="P53" s="96">
        <f>Эсбыт!N57</f>
        <v>1648</v>
      </c>
      <c r="Q53" s="215" t="e">
        <f>#REF!</f>
        <v>#REF!</v>
      </c>
      <c r="R53" s="93">
        <f>Эсбыт!P57</f>
        <v>1670</v>
      </c>
      <c r="S53" s="54" t="e">
        <f>#REF!</f>
        <v>#REF!</v>
      </c>
      <c r="T53" s="93">
        <f>Эсбыт!R57</f>
        <v>1345</v>
      </c>
      <c r="U53" s="54"/>
      <c r="V53" s="60"/>
      <c r="W53" s="51"/>
      <c r="X53" s="66"/>
      <c r="Y53" s="47"/>
      <c r="Z53" s="37"/>
      <c r="AA53" s="47"/>
      <c r="AB53" s="37"/>
      <c r="AC53" s="31" t="e">
        <f t="shared" si="2"/>
        <v>#REF!</v>
      </c>
      <c r="AD53" s="30">
        <f t="shared" si="3"/>
        <v>13368</v>
      </c>
      <c r="AE53" s="31" t="e">
        <f t="shared" si="4"/>
        <v>#REF!</v>
      </c>
      <c r="AF53" s="13"/>
      <c r="AG53" s="13"/>
      <c r="AH53" s="13"/>
      <c r="AI53" s="13"/>
      <c r="AJ53" s="13"/>
      <c r="AK53" s="15"/>
      <c r="AL53" s="13"/>
    </row>
    <row r="54" spans="2:38" ht="12.75" customHeight="1">
      <c r="B54" s="179">
        <f t="shared" si="1"/>
        <v>48</v>
      </c>
      <c r="C54" s="45" t="s">
        <v>65</v>
      </c>
      <c r="D54" s="152">
        <v>6713.5</v>
      </c>
      <c r="E54" s="202" t="e">
        <f>#REF!</f>
        <v>#REF!</v>
      </c>
      <c r="F54" s="195">
        <f>Эсбыт!D58</f>
        <v>1565</v>
      </c>
      <c r="G54" s="202" t="e">
        <f>#REF!</f>
        <v>#REF!</v>
      </c>
      <c r="H54" s="195">
        <f>Эсбыт!F58</f>
        <v>1064</v>
      </c>
      <c r="I54" s="202" t="e">
        <f>#REF!</f>
        <v>#REF!</v>
      </c>
      <c r="J54" s="86">
        <f>Эсбыт!H58</f>
        <v>877</v>
      </c>
      <c r="K54" s="54" t="e">
        <f>#REF!</f>
        <v>#REF!</v>
      </c>
      <c r="L54" s="94">
        <f>Эсбыт!J58</f>
        <v>1013</v>
      </c>
      <c r="M54" s="215" t="e">
        <f>#REF!</f>
        <v>#REF!</v>
      </c>
      <c r="N54" s="93">
        <f>Эсбыт!L58</f>
        <v>301</v>
      </c>
      <c r="O54" s="54" t="e">
        <f>#REF!</f>
        <v>#REF!</v>
      </c>
      <c r="P54" s="96">
        <f>Эсбыт!N58</f>
        <v>1123</v>
      </c>
      <c r="Q54" s="215" t="e">
        <f>#REF!</f>
        <v>#REF!</v>
      </c>
      <c r="R54" s="93">
        <f>Эсбыт!P58</f>
        <v>1158</v>
      </c>
      <c r="S54" s="54" t="e">
        <f>#REF!</f>
        <v>#REF!</v>
      </c>
      <c r="T54" s="93">
        <f>Эсбыт!R58</f>
        <v>1218</v>
      </c>
      <c r="U54" s="54"/>
      <c r="V54" s="60"/>
      <c r="W54" s="51"/>
      <c r="X54" s="66"/>
      <c r="Y54" s="47"/>
      <c r="Z54" s="37"/>
      <c r="AA54" s="47"/>
      <c r="AB54" s="37"/>
      <c r="AC54" s="31" t="e">
        <f aca="true" t="shared" si="5" ref="AC54:AD57">AA54+Y54+W54+U54+S54+Q54+O54+M54+K54+I54+G54+E54</f>
        <v>#REF!</v>
      </c>
      <c r="AD54" s="30">
        <f t="shared" si="5"/>
        <v>8319</v>
      </c>
      <c r="AE54" s="31" t="e">
        <f>AD54-AC54</f>
        <v>#REF!</v>
      </c>
      <c r="AF54" s="13"/>
      <c r="AG54" s="13"/>
      <c r="AH54" s="13"/>
      <c r="AI54" s="13"/>
      <c r="AJ54" s="13"/>
      <c r="AK54" s="15"/>
      <c r="AL54" s="16"/>
    </row>
    <row r="55" spans="2:38" ht="12.75" customHeight="1">
      <c r="B55" s="181">
        <f t="shared" si="1"/>
        <v>49</v>
      </c>
      <c r="C55" s="188" t="s">
        <v>81</v>
      </c>
      <c r="D55" s="153">
        <v>6718.7</v>
      </c>
      <c r="E55" s="134" t="e">
        <f>#REF!</f>
        <v>#REF!</v>
      </c>
      <c r="F55" s="137">
        <f>Эсбыт!D59</f>
        <v>980</v>
      </c>
      <c r="G55" s="134" t="e">
        <f>#REF!</f>
        <v>#REF!</v>
      </c>
      <c r="H55" s="137">
        <f>Эсбыт!F59</f>
        <v>861</v>
      </c>
      <c r="I55" s="134" t="e">
        <f>#REF!</f>
        <v>#REF!</v>
      </c>
      <c r="J55" s="135">
        <f>Эсбыт!H59</f>
        <v>649</v>
      </c>
      <c r="K55" s="134" t="e">
        <f>#REF!</f>
        <v>#REF!</v>
      </c>
      <c r="L55" s="136">
        <f>Эсбыт!J59</f>
        <v>774</v>
      </c>
      <c r="M55" s="134" t="e">
        <f>#REF!</f>
        <v>#REF!</v>
      </c>
      <c r="N55" s="135">
        <f>Эсбыт!L59</f>
        <v>748</v>
      </c>
      <c r="O55" s="134" t="e">
        <f>#REF!</f>
        <v>#REF!</v>
      </c>
      <c r="P55" s="137">
        <f>Эсбыт!N59</f>
        <v>679</v>
      </c>
      <c r="Q55" s="133" t="e">
        <f>#REF!</f>
        <v>#REF!</v>
      </c>
      <c r="R55" s="125">
        <f>Эсбыт!P59</f>
        <v>290</v>
      </c>
      <c r="S55" s="133" t="e">
        <f>#REF!</f>
        <v>#REF!</v>
      </c>
      <c r="T55" s="125">
        <f>Эсбыт!R59</f>
        <v>1265</v>
      </c>
      <c r="U55" s="134"/>
      <c r="V55" s="140"/>
      <c r="W55" s="138"/>
      <c r="X55" s="139"/>
      <c r="Y55" s="141"/>
      <c r="Z55" s="142"/>
      <c r="AA55" s="141"/>
      <c r="AB55" s="142"/>
      <c r="AC55" s="143" t="e">
        <f t="shared" si="5"/>
        <v>#REF!</v>
      </c>
      <c r="AD55" s="144">
        <f t="shared" si="5"/>
        <v>6246</v>
      </c>
      <c r="AE55" s="143" t="e">
        <f>AD55-AC55</f>
        <v>#REF!</v>
      </c>
      <c r="AF55" s="13"/>
      <c r="AG55" s="13"/>
      <c r="AH55" s="13"/>
      <c r="AI55" s="13"/>
      <c r="AJ55" s="13"/>
      <c r="AK55" s="15"/>
      <c r="AL55" s="16"/>
    </row>
    <row r="56" spans="2:38" ht="12.75" customHeight="1">
      <c r="B56" s="179">
        <f t="shared" si="1"/>
        <v>50</v>
      </c>
      <c r="C56" s="186" t="s">
        <v>82</v>
      </c>
      <c r="D56" s="153">
        <v>6706.5</v>
      </c>
      <c r="E56" s="105" t="e">
        <f>#REF!</f>
        <v>#REF!</v>
      </c>
      <c r="F56" s="108">
        <f>Эсбыт!D60</f>
        <v>582</v>
      </c>
      <c r="G56" s="105" t="e">
        <f>#REF!</f>
        <v>#REF!</v>
      </c>
      <c r="H56" s="108">
        <f>Эсбыт!F60</f>
        <v>718</v>
      </c>
      <c r="I56" s="105" t="e">
        <f>#REF!</f>
        <v>#REF!</v>
      </c>
      <c r="J56" s="106">
        <f>Эсбыт!H60</f>
        <v>662</v>
      </c>
      <c r="K56" s="105" t="e">
        <f>#REF!</f>
        <v>#REF!</v>
      </c>
      <c r="L56" s="107">
        <f>Эсбыт!J61</f>
        <v>0</v>
      </c>
      <c r="M56" s="105" t="e">
        <f>#REF!</f>
        <v>#REF!</v>
      </c>
      <c r="N56" s="106">
        <f>Эсбыт!L60</f>
        <v>788</v>
      </c>
      <c r="O56" s="105" t="e">
        <f>#REF!</f>
        <v>#REF!</v>
      </c>
      <c r="P56" s="108">
        <f>Эсбыт!N60</f>
        <v>834</v>
      </c>
      <c r="Q56" s="116" t="e">
        <f>#REF!</f>
        <v>#REF!</v>
      </c>
      <c r="R56" s="148">
        <f>Эсбыт!P60</f>
        <v>866</v>
      </c>
      <c r="S56" s="116" t="e">
        <f>#REF!</f>
        <v>#REF!</v>
      </c>
      <c r="T56" s="148">
        <f>Эсбыт!R60</f>
        <v>911</v>
      </c>
      <c r="U56" s="105"/>
      <c r="V56" s="109"/>
      <c r="W56" s="110"/>
      <c r="X56" s="111"/>
      <c r="Y56" s="112"/>
      <c r="Z56" s="113"/>
      <c r="AA56" s="112"/>
      <c r="AB56" s="113"/>
      <c r="AC56" s="114" t="e">
        <f t="shared" si="5"/>
        <v>#REF!</v>
      </c>
      <c r="AD56" s="115">
        <f t="shared" si="5"/>
        <v>5361</v>
      </c>
      <c r="AE56" s="114" t="e">
        <f>AD56-AC56</f>
        <v>#REF!</v>
      </c>
      <c r="AF56" s="13"/>
      <c r="AG56" s="13"/>
      <c r="AH56" s="13"/>
      <c r="AI56" s="13"/>
      <c r="AJ56" s="13"/>
      <c r="AK56" s="15"/>
      <c r="AL56" s="16"/>
    </row>
    <row r="57" spans="2:38" ht="12.75" customHeight="1">
      <c r="B57" s="179">
        <f t="shared" si="1"/>
        <v>51</v>
      </c>
      <c r="C57" s="189" t="s">
        <v>88</v>
      </c>
      <c r="D57" s="150">
        <v>6708.8</v>
      </c>
      <c r="E57" s="161"/>
      <c r="F57" s="164"/>
      <c r="G57" s="161"/>
      <c r="H57" s="164"/>
      <c r="I57" s="161"/>
      <c r="J57" s="162"/>
      <c r="K57" s="161"/>
      <c r="L57" s="163"/>
      <c r="M57" s="161"/>
      <c r="N57" s="162"/>
      <c r="O57" s="161"/>
      <c r="P57" s="164"/>
      <c r="Q57" s="55"/>
      <c r="R57" s="145"/>
      <c r="S57" s="54" t="e">
        <f>#REF!</f>
        <v>#REF!</v>
      </c>
      <c r="T57" s="93">
        <f>Эсбыт!R61</f>
        <v>50</v>
      </c>
      <c r="U57" s="161"/>
      <c r="V57" s="167"/>
      <c r="W57" s="165"/>
      <c r="X57" s="166"/>
      <c r="Y57" s="168"/>
      <c r="Z57" s="169"/>
      <c r="AA57" s="168"/>
      <c r="AB57" s="169"/>
      <c r="AC57" s="170" t="e">
        <f t="shared" si="5"/>
        <v>#REF!</v>
      </c>
      <c r="AD57" s="171">
        <f t="shared" si="5"/>
        <v>50</v>
      </c>
      <c r="AE57" s="170" t="e">
        <f>AD57-AC57</f>
        <v>#REF!</v>
      </c>
      <c r="AF57" s="13"/>
      <c r="AG57" s="13"/>
      <c r="AH57" s="13"/>
      <c r="AI57" s="13"/>
      <c r="AJ57" s="13"/>
      <c r="AK57" s="15"/>
      <c r="AL57" s="16"/>
    </row>
    <row r="58" spans="2:38" ht="12.75" customHeight="1">
      <c r="B58" s="179">
        <f t="shared" si="1"/>
        <v>52</v>
      </c>
      <c r="C58" s="45" t="s">
        <v>20</v>
      </c>
      <c r="D58" s="152">
        <v>11638.3</v>
      </c>
      <c r="E58" s="202" t="e">
        <f>#REF!</f>
        <v>#REF!</v>
      </c>
      <c r="F58" s="195">
        <f>Эсбыт!D62</f>
        <v>1504</v>
      </c>
      <c r="G58" s="202" t="e">
        <f>#REF!</f>
        <v>#REF!</v>
      </c>
      <c r="H58" s="195">
        <f>Эсбыт!F62</f>
        <v>1930</v>
      </c>
      <c r="I58" s="202" t="e">
        <f>#REF!</f>
        <v>#REF!</v>
      </c>
      <c r="J58" s="86">
        <f>Эсбыт!H62</f>
        <v>1400</v>
      </c>
      <c r="K58" s="54" t="e">
        <f>#REF!</f>
        <v>#REF!</v>
      </c>
      <c r="L58" s="94">
        <f>Эсбыт!J63</f>
        <v>1389</v>
      </c>
      <c r="M58" s="215" t="e">
        <f>#REF!</f>
        <v>#REF!</v>
      </c>
      <c r="N58" s="93">
        <f>Эсбыт!L62</f>
        <v>1343</v>
      </c>
      <c r="O58" s="54" t="e">
        <f>#REF!</f>
        <v>#REF!</v>
      </c>
      <c r="P58" s="96">
        <f>Эсбыт!N62</f>
        <v>1354</v>
      </c>
      <c r="Q58" s="215" t="e">
        <f>#REF!</f>
        <v>#REF!</v>
      </c>
      <c r="R58" s="93">
        <f>Эсбыт!P62</f>
        <v>1402</v>
      </c>
      <c r="S58" s="54" t="e">
        <f>#REF!</f>
        <v>#REF!</v>
      </c>
      <c r="T58" s="93">
        <f>Эсбыт!R62</f>
        <v>1342</v>
      </c>
      <c r="U58" s="54"/>
      <c r="V58" s="60"/>
      <c r="W58" s="51"/>
      <c r="X58" s="66"/>
      <c r="Y58" s="47"/>
      <c r="Z58" s="37"/>
      <c r="AA58" s="47"/>
      <c r="AB58" s="37"/>
      <c r="AC58" s="31" t="e">
        <f t="shared" si="2"/>
        <v>#REF!</v>
      </c>
      <c r="AD58" s="30">
        <f t="shared" si="3"/>
        <v>11664</v>
      </c>
      <c r="AE58" s="31" t="e">
        <f t="shared" si="4"/>
        <v>#REF!</v>
      </c>
      <c r="AF58" s="13"/>
      <c r="AG58" s="13"/>
      <c r="AH58" s="13"/>
      <c r="AI58" s="13"/>
      <c r="AJ58" s="13"/>
      <c r="AK58" s="15"/>
      <c r="AL58" s="13"/>
    </row>
    <row r="59" spans="2:38" ht="12.75" customHeight="1">
      <c r="B59" s="179">
        <f t="shared" si="1"/>
        <v>53</v>
      </c>
      <c r="C59" s="45" t="s">
        <v>21</v>
      </c>
      <c r="D59" s="152">
        <v>9185</v>
      </c>
      <c r="E59" s="202" t="e">
        <f>#REF!</f>
        <v>#REF!</v>
      </c>
      <c r="F59" s="195">
        <f>Эсбыт!D63</f>
        <v>1455</v>
      </c>
      <c r="G59" s="202" t="e">
        <f>#REF!</f>
        <v>#REF!</v>
      </c>
      <c r="H59" s="195">
        <f>Эсбыт!F63</f>
        <v>1729</v>
      </c>
      <c r="I59" s="202" t="e">
        <f>#REF!</f>
        <v>#REF!</v>
      </c>
      <c r="J59" s="86">
        <f>Эсбыт!H63</f>
        <v>1340</v>
      </c>
      <c r="K59" s="54" t="e">
        <f>#REF!</f>
        <v>#REF!</v>
      </c>
      <c r="L59" s="94">
        <f>Эсбыт!J64</f>
        <v>976</v>
      </c>
      <c r="M59" s="215" t="e">
        <f>#REF!</f>
        <v>#REF!</v>
      </c>
      <c r="N59" s="93">
        <f>Эсбыт!L63</f>
        <v>1361</v>
      </c>
      <c r="O59" s="54" t="e">
        <f>#REF!</f>
        <v>#REF!</v>
      </c>
      <c r="P59" s="96">
        <f>Эсбыт!N63</f>
        <v>1212</v>
      </c>
      <c r="Q59" s="215" t="e">
        <f>#REF!</f>
        <v>#REF!</v>
      </c>
      <c r="R59" s="93">
        <f>Эсбыт!P63</f>
        <v>1455</v>
      </c>
      <c r="S59" s="54" t="e">
        <f>#REF!</f>
        <v>#REF!</v>
      </c>
      <c r="T59" s="93">
        <f>Эсбыт!R63</f>
        <v>1415</v>
      </c>
      <c r="U59" s="54"/>
      <c r="V59" s="60"/>
      <c r="W59" s="51"/>
      <c r="X59" s="66"/>
      <c r="Y59" s="47"/>
      <c r="Z59" s="37"/>
      <c r="AA59" s="47"/>
      <c r="AB59" s="37"/>
      <c r="AC59" s="31" t="e">
        <f t="shared" si="2"/>
        <v>#REF!</v>
      </c>
      <c r="AD59" s="30">
        <f t="shared" si="3"/>
        <v>10943</v>
      </c>
      <c r="AE59" s="31" t="e">
        <f t="shared" si="4"/>
        <v>#REF!</v>
      </c>
      <c r="AF59" s="13"/>
      <c r="AG59" s="13"/>
      <c r="AH59" s="13"/>
      <c r="AI59" s="13"/>
      <c r="AJ59" s="13"/>
      <c r="AK59" s="15"/>
      <c r="AL59" s="16"/>
    </row>
    <row r="60" spans="2:38" ht="12.75" customHeight="1">
      <c r="B60" s="179">
        <f t="shared" si="1"/>
        <v>54</v>
      </c>
      <c r="C60" s="45" t="s">
        <v>22</v>
      </c>
      <c r="D60" s="152">
        <v>9190.4</v>
      </c>
      <c r="E60" s="202" t="e">
        <f>#REF!</f>
        <v>#REF!</v>
      </c>
      <c r="F60" s="195">
        <f>Эсбыт!D64</f>
        <v>1274</v>
      </c>
      <c r="G60" s="202" t="e">
        <f>#REF!</f>
        <v>#REF!</v>
      </c>
      <c r="H60" s="195">
        <f>Эсбыт!F64</f>
        <v>1572</v>
      </c>
      <c r="I60" s="202" t="e">
        <f>#REF!</f>
        <v>#REF!</v>
      </c>
      <c r="J60" s="86">
        <f>Эсбыт!H64</f>
        <v>1167</v>
      </c>
      <c r="K60" s="54" t="e">
        <f>#REF!</f>
        <v>#REF!</v>
      </c>
      <c r="L60" s="94">
        <f>Эсбыт!J65</f>
        <v>1208</v>
      </c>
      <c r="M60" s="215" t="e">
        <f>#REF!</f>
        <v>#REF!</v>
      </c>
      <c r="N60" s="93">
        <f>Эсбыт!L64</f>
        <v>1146</v>
      </c>
      <c r="O60" s="54" t="e">
        <f>#REF!</f>
        <v>#REF!</v>
      </c>
      <c r="P60" s="96">
        <f>Эсбыт!N64</f>
        <v>1073</v>
      </c>
      <c r="Q60" s="215" t="e">
        <f>#REF!</f>
        <v>#REF!</v>
      </c>
      <c r="R60" s="93">
        <f>Эсбыт!P64</f>
        <v>1371</v>
      </c>
      <c r="S60" s="54" t="e">
        <f>#REF!</f>
        <v>#REF!</v>
      </c>
      <c r="T60" s="93">
        <f>Эсбыт!R64</f>
        <v>1334</v>
      </c>
      <c r="U60" s="54"/>
      <c r="V60" s="60"/>
      <c r="W60" s="51"/>
      <c r="X60" s="66"/>
      <c r="Y60" s="47"/>
      <c r="Z60" s="37"/>
      <c r="AA60" s="47"/>
      <c r="AB60" s="37"/>
      <c r="AC60" s="31" t="e">
        <f t="shared" si="2"/>
        <v>#REF!</v>
      </c>
      <c r="AD60" s="30">
        <f t="shared" si="3"/>
        <v>10145</v>
      </c>
      <c r="AE60" s="31" t="e">
        <f t="shared" si="4"/>
        <v>#REF!</v>
      </c>
      <c r="AF60" s="13"/>
      <c r="AG60" s="13"/>
      <c r="AH60" s="13"/>
      <c r="AI60" s="13"/>
      <c r="AJ60" s="13"/>
      <c r="AK60" s="15"/>
      <c r="AL60" s="13"/>
    </row>
    <row r="61" spans="2:38" ht="12.75" customHeight="1">
      <c r="B61" s="179">
        <f t="shared" si="1"/>
        <v>55</v>
      </c>
      <c r="C61" s="45" t="s">
        <v>23</v>
      </c>
      <c r="D61" s="152">
        <v>9187.9</v>
      </c>
      <c r="E61" s="202" t="e">
        <f>#REF!</f>
        <v>#REF!</v>
      </c>
      <c r="F61" s="195">
        <f>Эсбыт!D65</f>
        <v>1204</v>
      </c>
      <c r="G61" s="202" t="e">
        <f>#REF!</f>
        <v>#REF!</v>
      </c>
      <c r="H61" s="195">
        <f>Эсбыт!F65</f>
        <v>1533</v>
      </c>
      <c r="I61" s="202" t="e">
        <f>#REF!</f>
        <v>#REF!</v>
      </c>
      <c r="J61" s="86">
        <f>Эсбыт!H65</f>
        <v>1169</v>
      </c>
      <c r="K61" s="54" t="e">
        <f>#REF!</f>
        <v>#REF!</v>
      </c>
      <c r="L61" s="94">
        <f>Эсбыт!J66</f>
        <v>1484</v>
      </c>
      <c r="M61" s="215" t="e">
        <f>#REF!</f>
        <v>#REF!</v>
      </c>
      <c r="N61" s="93">
        <f>Эсбыт!L65</f>
        <v>1128</v>
      </c>
      <c r="O61" s="54" t="e">
        <f>#REF!</f>
        <v>#REF!</v>
      </c>
      <c r="P61" s="96">
        <f>Эсбыт!N65</f>
        <v>1281</v>
      </c>
      <c r="Q61" s="215" t="e">
        <f>#REF!</f>
        <v>#REF!</v>
      </c>
      <c r="R61" s="93">
        <f>Эсбыт!P65</f>
        <v>1367</v>
      </c>
      <c r="S61" s="54" t="e">
        <f>#REF!</f>
        <v>#REF!</v>
      </c>
      <c r="T61" s="93">
        <f>Эсбыт!R65</f>
        <v>1406</v>
      </c>
      <c r="U61" s="54"/>
      <c r="V61" s="60"/>
      <c r="W61" s="51"/>
      <c r="X61" s="66"/>
      <c r="Y61" s="47"/>
      <c r="Z61" s="37"/>
      <c r="AA61" s="47"/>
      <c r="AB61" s="37"/>
      <c r="AC61" s="31" t="e">
        <f t="shared" si="2"/>
        <v>#REF!</v>
      </c>
      <c r="AD61" s="30">
        <f t="shared" si="3"/>
        <v>10572</v>
      </c>
      <c r="AE61" s="31" t="e">
        <f t="shared" si="4"/>
        <v>#REF!</v>
      </c>
      <c r="AF61" s="13"/>
      <c r="AG61" s="13"/>
      <c r="AH61" s="13"/>
      <c r="AI61" s="13"/>
      <c r="AJ61" s="13"/>
      <c r="AK61" s="15"/>
      <c r="AL61" s="16"/>
    </row>
    <row r="62" spans="2:38" ht="12.75" customHeight="1">
      <c r="B62" s="179">
        <f t="shared" si="1"/>
        <v>56</v>
      </c>
      <c r="C62" s="45" t="s">
        <v>24</v>
      </c>
      <c r="D62" s="152">
        <v>9187.1</v>
      </c>
      <c r="E62" s="202" t="e">
        <f>#REF!</f>
        <v>#REF!</v>
      </c>
      <c r="F62" s="195">
        <f>Эсбыт!D66</f>
        <v>1490</v>
      </c>
      <c r="G62" s="202" t="e">
        <f>#REF!</f>
        <v>#REF!</v>
      </c>
      <c r="H62" s="195">
        <f>Эсбыт!F66</f>
        <v>1758</v>
      </c>
      <c r="I62" s="202" t="e">
        <f>#REF!</f>
        <v>#REF!</v>
      </c>
      <c r="J62" s="86">
        <f>Эсбыт!H66</f>
        <v>1337</v>
      </c>
      <c r="K62" s="54" t="e">
        <f>#REF!</f>
        <v>#REF!</v>
      </c>
      <c r="L62" s="94">
        <f>Эсбыт!J67</f>
        <v>982</v>
      </c>
      <c r="M62" s="215" t="e">
        <f>#REF!</f>
        <v>#REF!</v>
      </c>
      <c r="N62" s="93">
        <f>Эсбыт!L66</f>
        <v>1298</v>
      </c>
      <c r="O62" s="54" t="e">
        <f>#REF!</f>
        <v>#REF!</v>
      </c>
      <c r="P62" s="96">
        <f>Эсбыт!N66</f>
        <v>1340</v>
      </c>
      <c r="Q62" s="215" t="e">
        <f>#REF!</f>
        <v>#REF!</v>
      </c>
      <c r="R62" s="93">
        <f>Эсбыт!P66</f>
        <v>1326</v>
      </c>
      <c r="S62" s="54" t="e">
        <f>#REF!</f>
        <v>#REF!</v>
      </c>
      <c r="T62" s="93">
        <f>Эсбыт!R66</f>
        <v>1374</v>
      </c>
      <c r="U62" s="47"/>
      <c r="V62" s="60"/>
      <c r="W62" s="49"/>
      <c r="X62" s="66"/>
      <c r="Y62" s="47"/>
      <c r="Z62" s="37"/>
      <c r="AA62" s="47"/>
      <c r="AB62" s="37"/>
      <c r="AC62" s="31" t="e">
        <f t="shared" si="2"/>
        <v>#REF!</v>
      </c>
      <c r="AD62" s="30">
        <f t="shared" si="3"/>
        <v>10905</v>
      </c>
      <c r="AE62" s="31" t="e">
        <f t="shared" si="4"/>
        <v>#REF!</v>
      </c>
      <c r="AF62" s="13"/>
      <c r="AG62" s="13"/>
      <c r="AH62" s="13"/>
      <c r="AI62" s="13"/>
      <c r="AJ62" s="13"/>
      <c r="AK62" s="15"/>
      <c r="AL62" s="16"/>
    </row>
    <row r="63" spans="2:38" ht="12.75" customHeight="1">
      <c r="B63" s="179">
        <f t="shared" si="1"/>
        <v>57</v>
      </c>
      <c r="C63" s="45" t="s">
        <v>25</v>
      </c>
      <c r="D63" s="152">
        <v>6886.8</v>
      </c>
      <c r="E63" s="202" t="e">
        <f>#REF!</f>
        <v>#REF!</v>
      </c>
      <c r="F63" s="195">
        <f>Эсбыт!D67</f>
        <v>520</v>
      </c>
      <c r="G63" s="202" t="e">
        <f>#REF!</f>
        <v>#REF!</v>
      </c>
      <c r="H63" s="195">
        <f>Эсбыт!F67</f>
        <v>549</v>
      </c>
      <c r="I63" s="202" t="e">
        <f>#REF!</f>
        <v>#REF!</v>
      </c>
      <c r="J63" s="86">
        <f>Эсбыт!H67</f>
        <v>664</v>
      </c>
      <c r="K63" s="54" t="e">
        <f>#REF!</f>
        <v>#REF!</v>
      </c>
      <c r="L63" s="94">
        <f>Эсбыт!J68</f>
        <v>611</v>
      </c>
      <c r="M63" s="215" t="e">
        <f>#REF!</f>
        <v>#REF!</v>
      </c>
      <c r="N63" s="93">
        <f>Эсбыт!L67</f>
        <v>769</v>
      </c>
      <c r="O63" s="54" t="e">
        <f>#REF!</f>
        <v>#REF!</v>
      </c>
      <c r="P63" s="96">
        <f>Эсбыт!N67</f>
        <v>891</v>
      </c>
      <c r="Q63" s="215" t="e">
        <f>#REF!</f>
        <v>#REF!</v>
      </c>
      <c r="R63" s="93">
        <f>Эсбыт!P67</f>
        <v>929</v>
      </c>
      <c r="S63" s="54" t="e">
        <f>#REF!</f>
        <v>#REF!</v>
      </c>
      <c r="T63" s="93">
        <f>Эсбыт!R67</f>
        <v>932</v>
      </c>
      <c r="U63" s="47"/>
      <c r="V63" s="60"/>
      <c r="W63" s="49"/>
      <c r="X63" s="66"/>
      <c r="Y63" s="47"/>
      <c r="Z63" s="37"/>
      <c r="AA63" s="47"/>
      <c r="AB63" s="37"/>
      <c r="AC63" s="31" t="e">
        <f t="shared" si="2"/>
        <v>#REF!</v>
      </c>
      <c r="AD63" s="30">
        <f t="shared" si="3"/>
        <v>5865</v>
      </c>
      <c r="AE63" s="31" t="e">
        <f t="shared" si="4"/>
        <v>#REF!</v>
      </c>
      <c r="AF63" s="13"/>
      <c r="AG63" s="13"/>
      <c r="AH63" s="13"/>
      <c r="AI63" s="13"/>
      <c r="AJ63" s="13"/>
      <c r="AK63" s="15"/>
      <c r="AL63" s="16"/>
    </row>
    <row r="64" spans="2:38" ht="12.75" customHeight="1">
      <c r="B64" s="179">
        <f t="shared" si="1"/>
        <v>58</v>
      </c>
      <c r="C64" s="190" t="s">
        <v>26</v>
      </c>
      <c r="D64" s="155">
        <v>4261.1</v>
      </c>
      <c r="E64" s="205" t="e">
        <f>#REF!</f>
        <v>#REF!</v>
      </c>
      <c r="F64" s="198">
        <f>Эсбыт!D68</f>
        <v>783</v>
      </c>
      <c r="G64" s="202" t="e">
        <f>#REF!</f>
        <v>#REF!</v>
      </c>
      <c r="H64" s="195">
        <f>Эсбыт!F68</f>
        <v>1053</v>
      </c>
      <c r="I64" s="202" t="e">
        <f>#REF!</f>
        <v>#REF!</v>
      </c>
      <c r="J64" s="86">
        <f>Эсбыт!H68</f>
        <v>403</v>
      </c>
      <c r="K64" s="54" t="e">
        <f>#REF!</f>
        <v>#REF!</v>
      </c>
      <c r="L64" s="94">
        <f>Эсбыт!J69</f>
        <v>1558</v>
      </c>
      <c r="M64" s="215" t="e">
        <f>#REF!</f>
        <v>#REF!</v>
      </c>
      <c r="N64" s="93">
        <f>Эсбыт!L68</f>
        <v>522</v>
      </c>
      <c r="O64" s="54" t="e">
        <f>#REF!</f>
        <v>#REF!</v>
      </c>
      <c r="P64" s="96">
        <f>Эсбыт!N68</f>
        <v>618</v>
      </c>
      <c r="Q64" s="215" t="e">
        <f>#REF!</f>
        <v>#REF!</v>
      </c>
      <c r="R64" s="93">
        <f>Эсбыт!P68</f>
        <v>618</v>
      </c>
      <c r="S64" s="54" t="e">
        <f>#REF!</f>
        <v>#REF!</v>
      </c>
      <c r="T64" s="93">
        <f>Эсбыт!R68</f>
        <v>625</v>
      </c>
      <c r="U64" s="84"/>
      <c r="V64" s="83"/>
      <c r="W64" s="55"/>
      <c r="X64" s="62"/>
      <c r="Y64" s="85"/>
      <c r="Z64" s="81"/>
      <c r="AA64" s="57"/>
      <c r="AB64" s="87"/>
      <c r="AC64" s="31" t="e">
        <f t="shared" si="2"/>
        <v>#REF!</v>
      </c>
      <c r="AD64" s="88">
        <f t="shared" si="3"/>
        <v>6180</v>
      </c>
      <c r="AE64" s="31" t="e">
        <f t="shared" si="4"/>
        <v>#REF!</v>
      </c>
      <c r="AF64" s="15"/>
      <c r="AG64" s="13"/>
      <c r="AH64" s="13"/>
      <c r="AI64" s="13"/>
      <c r="AJ64" s="13"/>
      <c r="AK64" s="13"/>
      <c r="AL64" s="13"/>
    </row>
    <row r="65" spans="2:38" ht="12.75" customHeight="1">
      <c r="B65" s="179">
        <f t="shared" si="1"/>
        <v>59</v>
      </c>
      <c r="C65" s="189" t="s">
        <v>84</v>
      </c>
      <c r="D65" s="79">
        <v>14015.8</v>
      </c>
      <c r="E65" s="204"/>
      <c r="F65" s="197"/>
      <c r="G65" s="204" t="e">
        <f>#REF!</f>
        <v>#REF!</v>
      </c>
      <c r="H65" s="197">
        <f>Эсбыт!F69</f>
        <v>0</v>
      </c>
      <c r="I65" s="204" t="e">
        <f>#REF!</f>
        <v>#REF!</v>
      </c>
      <c r="J65" s="95">
        <f>Эсбыт!H69</f>
        <v>2130</v>
      </c>
      <c r="K65" s="55" t="e">
        <f>#REF!</f>
        <v>#REF!</v>
      </c>
      <c r="L65" s="145">
        <f>Эсбыт!J70</f>
        <v>1166</v>
      </c>
      <c r="M65" s="55" t="e">
        <f>#REF!</f>
        <v>#REF!</v>
      </c>
      <c r="N65" s="145">
        <f>Эсбыт!L69</f>
        <v>1593</v>
      </c>
      <c r="O65" s="55" t="e">
        <f>#REF!</f>
        <v>#REF!</v>
      </c>
      <c r="P65" s="118">
        <f>Эсбыт!N69</f>
        <v>2862</v>
      </c>
      <c r="Q65" s="55" t="e">
        <f>#REF!</f>
        <v>#REF!</v>
      </c>
      <c r="R65" s="145">
        <f>Эсбыт!P69</f>
        <v>3525</v>
      </c>
      <c r="S65" s="54" t="e">
        <f>#REF!</f>
        <v>#REF!</v>
      </c>
      <c r="T65" s="93">
        <f>Эсбыт!R69</f>
        <v>4958</v>
      </c>
      <c r="U65" s="55"/>
      <c r="V65" s="62"/>
      <c r="W65" s="55"/>
      <c r="X65" s="62"/>
      <c r="Y65" s="49"/>
      <c r="Z65" s="146"/>
      <c r="AA65" s="57"/>
      <c r="AB65" s="177"/>
      <c r="AC65" s="119" t="e">
        <f t="shared" si="2"/>
        <v>#REF!</v>
      </c>
      <c r="AD65" s="147">
        <f t="shared" si="3"/>
        <v>16234</v>
      </c>
      <c r="AE65" s="119" t="e">
        <f t="shared" si="4"/>
        <v>#REF!</v>
      </c>
      <c r="AF65" s="15"/>
      <c r="AG65" s="13"/>
      <c r="AH65" s="13"/>
      <c r="AI65" s="13"/>
      <c r="AJ65" s="13"/>
      <c r="AK65" s="13"/>
      <c r="AL65" s="13"/>
    </row>
    <row r="66" spans="2:38" ht="12.75" customHeight="1">
      <c r="B66" s="179">
        <f t="shared" si="1"/>
        <v>60</v>
      </c>
      <c r="C66" s="74" t="s">
        <v>85</v>
      </c>
      <c r="D66" s="78">
        <v>28893.1</v>
      </c>
      <c r="E66" s="202"/>
      <c r="F66" s="195"/>
      <c r="G66" s="202" t="e">
        <f>#REF!</f>
        <v>#REF!</v>
      </c>
      <c r="H66" s="195">
        <f>Эсбыт!F70</f>
        <v>467</v>
      </c>
      <c r="I66" s="202" t="e">
        <f>#REF!</f>
        <v>#REF!</v>
      </c>
      <c r="J66" s="86">
        <f>Эсбыт!H70</f>
        <v>1712</v>
      </c>
      <c r="K66" s="54" t="e">
        <f>#REF!</f>
        <v>#REF!</v>
      </c>
      <c r="L66" s="93" t="e">
        <f>Эсбыт!#REF!</f>
        <v>#REF!</v>
      </c>
      <c r="M66" s="215" t="e">
        <f>#REF!</f>
        <v>#REF!</v>
      </c>
      <c r="N66" s="93">
        <f>Эсбыт!L70</f>
        <v>1580</v>
      </c>
      <c r="O66" s="54" t="e">
        <f>#REF!</f>
        <v>#REF!</v>
      </c>
      <c r="P66" s="96">
        <f>Эсбыт!N70</f>
        <v>1498</v>
      </c>
      <c r="Q66" s="215" t="e">
        <f>#REF!</f>
        <v>#REF!</v>
      </c>
      <c r="R66" s="93">
        <f>Эсбыт!P70</f>
        <v>1854</v>
      </c>
      <c r="S66" s="54" t="e">
        <f>#REF!</f>
        <v>#REF!</v>
      </c>
      <c r="T66" s="93">
        <f>Эсбыт!R70</f>
        <v>2306</v>
      </c>
      <c r="U66" s="55"/>
      <c r="V66" s="62"/>
      <c r="W66" s="55"/>
      <c r="X66" s="62"/>
      <c r="Y66" s="57"/>
      <c r="Z66" s="178"/>
      <c r="AA66" s="57"/>
      <c r="AB66" s="87"/>
      <c r="AC66" s="31" t="e">
        <f t="shared" si="2"/>
        <v>#REF!</v>
      </c>
      <c r="AD66" s="88" t="e">
        <f t="shared" si="3"/>
        <v>#REF!</v>
      </c>
      <c r="AE66" s="31" t="e">
        <f t="shared" si="4"/>
        <v>#REF!</v>
      </c>
      <c r="AF66" s="15"/>
      <c r="AG66" s="13"/>
      <c r="AH66" s="13"/>
      <c r="AI66" s="13"/>
      <c r="AJ66" s="13"/>
      <c r="AK66" s="13"/>
      <c r="AL66" s="13"/>
    </row>
    <row r="67" spans="2:38" ht="12.75" customHeight="1">
      <c r="B67" s="179">
        <f t="shared" si="1"/>
        <v>61</v>
      </c>
      <c r="C67" s="74" t="s">
        <v>89</v>
      </c>
      <c r="D67" s="150">
        <v>12672.5</v>
      </c>
      <c r="E67" s="202"/>
      <c r="F67" s="195"/>
      <c r="G67" s="202"/>
      <c r="H67" s="195"/>
      <c r="I67" s="202"/>
      <c r="J67" s="86"/>
      <c r="K67" s="54"/>
      <c r="L67" s="93"/>
      <c r="M67" s="215"/>
      <c r="N67" s="93"/>
      <c r="O67" s="54"/>
      <c r="P67" s="96"/>
      <c r="Q67" s="215"/>
      <c r="R67" s="93"/>
      <c r="S67" s="54" t="e">
        <f>#REF!</f>
        <v>#REF!</v>
      </c>
      <c r="T67" s="93">
        <f>Эсбыт!R71</f>
        <v>370</v>
      </c>
      <c r="U67" s="55"/>
      <c r="V67" s="118"/>
      <c r="W67" s="55"/>
      <c r="X67" s="118"/>
      <c r="Y67" s="57"/>
      <c r="Z67" s="87"/>
      <c r="AA67" s="57"/>
      <c r="AB67" s="87"/>
      <c r="AC67" s="31" t="e">
        <f t="shared" si="2"/>
        <v>#REF!</v>
      </c>
      <c r="AD67" s="88">
        <f t="shared" si="3"/>
        <v>370</v>
      </c>
      <c r="AE67" s="31" t="e">
        <f t="shared" si="4"/>
        <v>#REF!</v>
      </c>
      <c r="AF67" s="15"/>
      <c r="AG67" s="13"/>
      <c r="AH67" s="13"/>
      <c r="AI67" s="13"/>
      <c r="AJ67" s="13"/>
      <c r="AK67" s="13"/>
      <c r="AL67" s="13"/>
    </row>
    <row r="68" spans="2:38" ht="12.75" customHeight="1" thickBot="1">
      <c r="B68" s="179">
        <f t="shared" si="1"/>
        <v>62</v>
      </c>
      <c r="C68" s="82" t="s">
        <v>90</v>
      </c>
      <c r="D68" s="191">
        <v>11094.5</v>
      </c>
      <c r="E68" s="206"/>
      <c r="F68" s="199"/>
      <c r="G68" s="206"/>
      <c r="H68" s="199"/>
      <c r="I68" s="206"/>
      <c r="J68" s="172"/>
      <c r="K68" s="211"/>
      <c r="L68" s="173"/>
      <c r="M68" s="216"/>
      <c r="N68" s="173"/>
      <c r="O68" s="211"/>
      <c r="P68" s="174"/>
      <c r="Q68" s="216"/>
      <c r="R68" s="173"/>
      <c r="S68" s="218" t="e">
        <f>#REF!</f>
        <v>#REF!</v>
      </c>
      <c r="T68" s="217">
        <f>Эсбыт!R72</f>
        <v>166</v>
      </c>
      <c r="U68" s="219"/>
      <c r="V68" s="175"/>
      <c r="W68" s="220"/>
      <c r="X68" s="175"/>
      <c r="Y68" s="221"/>
      <c r="Z68" s="176"/>
      <c r="AA68" s="221"/>
      <c r="AB68" s="176"/>
      <c r="AC68" s="31" t="e">
        <f t="shared" si="2"/>
        <v>#REF!</v>
      </c>
      <c r="AD68" s="88">
        <f t="shared" si="3"/>
        <v>166</v>
      </c>
      <c r="AE68" s="31" t="e">
        <f t="shared" si="4"/>
        <v>#REF!</v>
      </c>
      <c r="AF68" s="15"/>
      <c r="AG68" s="13"/>
      <c r="AH68" s="13"/>
      <c r="AI68" s="13"/>
      <c r="AJ68" s="13"/>
      <c r="AK68" s="13"/>
      <c r="AL68" s="13"/>
    </row>
    <row r="69" spans="2:32" ht="15.75" customHeight="1" thickBot="1">
      <c r="B69" s="317" t="s">
        <v>67</v>
      </c>
      <c r="C69" s="318"/>
      <c r="D69" s="156">
        <f aca="true" t="shared" si="6" ref="D69:R69">SUM(D7:D66)</f>
        <v>606163.3</v>
      </c>
      <c r="E69" s="89" t="e">
        <f t="shared" si="6"/>
        <v>#REF!</v>
      </c>
      <c r="F69" s="99">
        <f t="shared" si="6"/>
        <v>84467.5</v>
      </c>
      <c r="G69" s="101" t="e">
        <f t="shared" si="6"/>
        <v>#REF!</v>
      </c>
      <c r="H69" s="12">
        <f t="shared" si="6"/>
        <v>85198</v>
      </c>
      <c r="I69" s="102" t="e">
        <f t="shared" si="6"/>
        <v>#REF!</v>
      </c>
      <c r="J69" s="102">
        <f t="shared" si="6"/>
        <v>64751</v>
      </c>
      <c r="K69" s="89" t="e">
        <f t="shared" si="6"/>
        <v>#REF!</v>
      </c>
      <c r="L69" s="99" t="e">
        <f t="shared" si="6"/>
        <v>#REF!</v>
      </c>
      <c r="M69" s="89" t="e">
        <f t="shared" si="6"/>
        <v>#REF!</v>
      </c>
      <c r="N69" s="99">
        <f>SUM(N7:N66)</f>
        <v>72717</v>
      </c>
      <c r="O69" s="89" t="e">
        <f t="shared" si="6"/>
        <v>#REF!</v>
      </c>
      <c r="P69" s="89">
        <f t="shared" si="6"/>
        <v>76246</v>
      </c>
      <c r="Q69" s="89" t="e">
        <f t="shared" si="6"/>
        <v>#REF!</v>
      </c>
      <c r="R69" s="89">
        <f t="shared" si="6"/>
        <v>78358</v>
      </c>
      <c r="S69" s="89" t="e">
        <f>SUM(S7:S68)</f>
        <v>#REF!</v>
      </c>
      <c r="T69" s="103">
        <f aca="true" t="shared" si="7" ref="T69:AC69">SUM(T7:T68)</f>
        <v>87671</v>
      </c>
      <c r="U69" s="89">
        <f t="shared" si="7"/>
        <v>0</v>
      </c>
      <c r="V69" s="89">
        <f t="shared" si="7"/>
        <v>0</v>
      </c>
      <c r="W69" s="89">
        <f t="shared" si="7"/>
        <v>0</v>
      </c>
      <c r="X69" s="89">
        <f t="shared" si="7"/>
        <v>0</v>
      </c>
      <c r="Y69" s="89">
        <f t="shared" si="7"/>
        <v>0</v>
      </c>
      <c r="Z69" s="89">
        <f t="shared" si="7"/>
        <v>0</v>
      </c>
      <c r="AA69" s="89">
        <f t="shared" si="7"/>
        <v>0</v>
      </c>
      <c r="AB69" s="89">
        <f t="shared" si="7"/>
        <v>0</v>
      </c>
      <c r="AC69" s="89" t="e">
        <f t="shared" si="7"/>
        <v>#REF!</v>
      </c>
      <c r="AD69" s="103" t="e">
        <f>SUM(AD7:AD68)</f>
        <v>#REF!</v>
      </c>
      <c r="AE69" s="103" t="e">
        <f>SUM(AE7:AE68)</f>
        <v>#REF!</v>
      </c>
      <c r="AF69" s="104" t="e">
        <f>AD69-AC69</f>
        <v>#REF!</v>
      </c>
    </row>
    <row r="70" spans="2:38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:38" ht="25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mergeCells count="13">
    <mergeCell ref="B69:C69"/>
    <mergeCell ref="M5:N5"/>
    <mergeCell ref="O5:P5"/>
    <mergeCell ref="Q5:R5"/>
    <mergeCell ref="S5:T5"/>
    <mergeCell ref="G5:H5"/>
    <mergeCell ref="E5:F5"/>
    <mergeCell ref="I5:J5"/>
    <mergeCell ref="K5:L5"/>
    <mergeCell ref="U5:V5"/>
    <mergeCell ref="W5:X5"/>
    <mergeCell ref="Y5:Z5"/>
    <mergeCell ref="AA5:AB5"/>
  </mergeCells>
  <printOptions/>
  <pageMargins left="0.16" right="0.16" top="0.35" bottom="0.26" header="0.36" footer="0.2"/>
  <pageSetup horizontalDpi="600" verticalDpi="600" orientation="landscape" paperSize="9" scale="96" r:id="rId1"/>
  <ignoredErrors>
    <ignoredError sqref="C7:C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75" sqref="A75:IV77"/>
    </sheetView>
  </sheetViews>
  <sheetFormatPr defaultColWidth="9.00390625" defaultRowHeight="12.75"/>
  <cols>
    <col min="1" max="1" width="3.375" style="0" customWidth="1"/>
    <col min="2" max="2" width="11.125" style="0" customWidth="1"/>
    <col min="3" max="3" width="6.00390625" style="0" customWidth="1"/>
    <col min="4" max="4" width="6.25390625" style="0" customWidth="1"/>
    <col min="5" max="5" width="6.125" style="0" customWidth="1"/>
    <col min="6" max="10" width="5.875" style="0" customWidth="1"/>
    <col min="11" max="11" width="5.75390625" style="0" customWidth="1"/>
    <col min="12" max="12" width="6.00390625" style="0" customWidth="1"/>
    <col min="13" max="13" width="6.25390625" style="0" customWidth="1"/>
    <col min="14" max="15" width="6.00390625" style="0" customWidth="1"/>
    <col min="16" max="16" width="6.25390625" style="0" customWidth="1"/>
    <col min="17" max="17" width="5.875" style="0" customWidth="1"/>
    <col min="18" max="18" width="6.125" style="0" customWidth="1"/>
    <col min="19" max="19" width="5.75390625" style="0" customWidth="1"/>
    <col min="20" max="20" width="6.875" style="0" customWidth="1"/>
    <col min="21" max="21" width="5.875" style="0" customWidth="1"/>
    <col min="22" max="23" width="6.00390625" style="0" customWidth="1"/>
    <col min="24" max="24" width="5.75390625" style="0" customWidth="1"/>
    <col min="25" max="25" width="6.25390625" style="0" customWidth="1"/>
    <col min="26" max="26" width="6.00390625" style="0" customWidth="1"/>
    <col min="27" max="27" width="0" style="0" hidden="1" customWidth="1"/>
    <col min="28" max="28" width="9.375" style="0" hidden="1" customWidth="1"/>
    <col min="29" max="29" width="6.75390625" style="0" customWidth="1"/>
    <col min="30" max="30" width="7.125" style="0" customWidth="1"/>
  </cols>
  <sheetData>
    <row r="1" spans="2:30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4"/>
      <c r="S1" s="24"/>
      <c r="T1" s="1"/>
      <c r="U1" s="1"/>
      <c r="V1" s="1"/>
      <c r="W1" s="1"/>
      <c r="X1" s="1"/>
      <c r="Y1" s="1"/>
      <c r="Z1" s="1"/>
      <c r="AA1" s="1"/>
      <c r="AB1" s="1"/>
      <c r="AC1" s="1"/>
      <c r="AD1" s="5"/>
    </row>
    <row r="2" spans="2:31" ht="33.75" customHeight="1">
      <c r="B2" s="321" t="s">
        <v>95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07"/>
      <c r="AB2" s="307"/>
      <c r="AC2" s="307"/>
      <c r="AD2" s="307"/>
      <c r="AE2" s="307"/>
    </row>
    <row r="3" ht="45" customHeight="1" thickBot="1">
      <c r="C3" s="1"/>
    </row>
    <row r="4" spans="1:30" ht="15" customHeight="1" thickBot="1">
      <c r="A4" s="1"/>
      <c r="B4" s="1"/>
      <c r="C4" s="322" t="s">
        <v>70</v>
      </c>
      <c r="D4" s="323"/>
      <c r="E4" s="322" t="s">
        <v>27</v>
      </c>
      <c r="F4" s="323"/>
      <c r="G4" s="322" t="s">
        <v>28</v>
      </c>
      <c r="H4" s="323"/>
      <c r="I4" s="322" t="s">
        <v>29</v>
      </c>
      <c r="J4" s="323"/>
      <c r="K4" s="322" t="s">
        <v>30</v>
      </c>
      <c r="L4" s="323"/>
      <c r="M4" s="322" t="s">
        <v>31</v>
      </c>
      <c r="N4" s="323"/>
      <c r="O4" s="322" t="s">
        <v>32</v>
      </c>
      <c r="P4" s="323"/>
      <c r="Q4" s="322" t="s">
        <v>33</v>
      </c>
      <c r="R4" s="323"/>
      <c r="S4" s="322" t="s">
        <v>34</v>
      </c>
      <c r="T4" s="323"/>
      <c r="U4" s="322" t="s">
        <v>35</v>
      </c>
      <c r="V4" s="323"/>
      <c r="W4" s="322" t="s">
        <v>36</v>
      </c>
      <c r="X4" s="323"/>
      <c r="Y4" s="322" t="s">
        <v>37</v>
      </c>
      <c r="Z4" s="323"/>
      <c r="AA4" s="322" t="s">
        <v>94</v>
      </c>
      <c r="AB4" s="323"/>
      <c r="AC4" s="322" t="s">
        <v>93</v>
      </c>
      <c r="AD4" s="323"/>
    </row>
    <row r="5" spans="1:30" ht="39" thickBot="1">
      <c r="A5" s="226" t="s">
        <v>39</v>
      </c>
      <c r="B5" s="227" t="s">
        <v>41</v>
      </c>
      <c r="C5" s="229">
        <v>2011</v>
      </c>
      <c r="D5" s="264">
        <v>2012</v>
      </c>
      <c r="E5" s="229">
        <v>2011</v>
      </c>
      <c r="F5" s="264">
        <v>2012</v>
      </c>
      <c r="G5" s="229">
        <v>2011</v>
      </c>
      <c r="H5" s="264">
        <v>2012</v>
      </c>
      <c r="I5" s="229">
        <v>2011</v>
      </c>
      <c r="J5" s="264">
        <v>2012</v>
      </c>
      <c r="K5" s="229">
        <v>2011</v>
      </c>
      <c r="L5" s="264">
        <v>2012</v>
      </c>
      <c r="M5" s="229">
        <v>2011</v>
      </c>
      <c r="N5" s="264">
        <v>2012</v>
      </c>
      <c r="O5" s="229">
        <v>2011</v>
      </c>
      <c r="P5" s="264">
        <v>2012</v>
      </c>
      <c r="Q5" s="229">
        <v>2011</v>
      </c>
      <c r="R5" s="272">
        <v>2012</v>
      </c>
      <c r="S5" s="229">
        <v>2011</v>
      </c>
      <c r="T5" s="264">
        <v>2012</v>
      </c>
      <c r="U5" s="229">
        <v>2011</v>
      </c>
      <c r="V5" s="264">
        <v>2012</v>
      </c>
      <c r="W5" s="229">
        <v>2011</v>
      </c>
      <c r="X5" s="264">
        <v>2012</v>
      </c>
      <c r="Y5" s="229">
        <v>2011</v>
      </c>
      <c r="Z5" s="264">
        <v>2012</v>
      </c>
      <c r="AA5" s="229">
        <v>2011</v>
      </c>
      <c r="AB5" s="264">
        <v>2012</v>
      </c>
      <c r="AC5" s="236">
        <v>2011</v>
      </c>
      <c r="AD5" s="237">
        <v>2012</v>
      </c>
    </row>
    <row r="6" spans="1:30" ht="12.75">
      <c r="A6" s="224">
        <v>1</v>
      </c>
      <c r="B6" s="158" t="s">
        <v>77</v>
      </c>
      <c r="C6" s="250"/>
      <c r="D6" s="302">
        <v>918</v>
      </c>
      <c r="E6" s="245"/>
      <c r="F6" s="298">
        <v>1504</v>
      </c>
      <c r="G6" s="97"/>
      <c r="H6" s="298">
        <v>930</v>
      </c>
      <c r="I6" s="97"/>
      <c r="J6" s="298">
        <v>1331</v>
      </c>
      <c r="K6" s="97"/>
      <c r="L6" s="298">
        <v>1025</v>
      </c>
      <c r="M6" s="97"/>
      <c r="N6" s="298">
        <v>1163</v>
      </c>
      <c r="O6" s="97"/>
      <c r="P6" s="298">
        <v>1255</v>
      </c>
      <c r="Q6" s="97"/>
      <c r="R6" s="298">
        <v>1210</v>
      </c>
      <c r="S6" s="292">
        <v>482</v>
      </c>
      <c r="T6" s="298">
        <v>1480</v>
      </c>
      <c r="U6" s="292">
        <v>981</v>
      </c>
      <c r="V6" s="302">
        <v>1044</v>
      </c>
      <c r="W6" s="292">
        <v>996</v>
      </c>
      <c r="X6" s="302">
        <v>1198</v>
      </c>
      <c r="Y6" s="292">
        <v>1061</v>
      </c>
      <c r="Z6" s="275">
        <v>1086</v>
      </c>
      <c r="AA6" s="72"/>
      <c r="AB6" s="275"/>
      <c r="AC6" s="284">
        <f>C6+E6+G6+I6+K6+M6+O6+Q6+S6+U6+W6+Y6+AA6</f>
        <v>3520</v>
      </c>
      <c r="AD6" s="285">
        <f>D6+F6+H6+J6+L6+N6+P6+R6+T6+V6+X6+Z6+AB6</f>
        <v>14144</v>
      </c>
    </row>
    <row r="7" spans="1:30" ht="12.75">
      <c r="A7" s="225">
        <f>A6+1</f>
        <v>2</v>
      </c>
      <c r="B7" s="159" t="s">
        <v>78</v>
      </c>
      <c r="C7" s="251"/>
      <c r="D7" s="299">
        <v>2024</v>
      </c>
      <c r="E7" s="230"/>
      <c r="F7" s="299">
        <v>2199</v>
      </c>
      <c r="G7" s="91"/>
      <c r="H7" s="299">
        <v>1381</v>
      </c>
      <c r="I7" s="91"/>
      <c r="J7" s="299">
        <v>2097</v>
      </c>
      <c r="K7" s="91"/>
      <c r="L7" s="299">
        <v>1882</v>
      </c>
      <c r="M7" s="91"/>
      <c r="N7" s="299">
        <v>1896</v>
      </c>
      <c r="O7" s="91"/>
      <c r="P7" s="299">
        <v>1785</v>
      </c>
      <c r="Q7" s="91"/>
      <c r="R7" s="299">
        <v>1888</v>
      </c>
      <c r="S7" s="45">
        <v>754</v>
      </c>
      <c r="T7" s="299">
        <v>2248</v>
      </c>
      <c r="U7" s="45">
        <v>1598</v>
      </c>
      <c r="V7" s="299">
        <v>1358</v>
      </c>
      <c r="W7" s="45">
        <v>1922</v>
      </c>
      <c r="X7" s="299">
        <v>1883</v>
      </c>
      <c r="Y7" s="45">
        <v>2008</v>
      </c>
      <c r="Z7" s="276">
        <v>1561</v>
      </c>
      <c r="AA7" s="73"/>
      <c r="AB7" s="276"/>
      <c r="AC7" s="286">
        <f aca="true" t="shared" si="0" ref="AC7:AC72">C7+E7+G7+I7+K7+M7+O7+Q7+S7+U7+W7+Y7+AA7</f>
        <v>6282</v>
      </c>
      <c r="AD7" s="287">
        <f aca="true" t="shared" si="1" ref="AD7:AD72">D7+F7+H7+J7+L7+N7+P7+R7+T7+V7+X7+Z7+AB7</f>
        <v>22202</v>
      </c>
    </row>
    <row r="8" spans="1:30" ht="12.75">
      <c r="A8" s="225">
        <f aca="true" t="shared" si="2" ref="A8:A72">A7+1</f>
        <v>3</v>
      </c>
      <c r="B8" s="159" t="s">
        <v>79</v>
      </c>
      <c r="C8" s="251"/>
      <c r="D8" s="299">
        <v>1699</v>
      </c>
      <c r="E8" s="265"/>
      <c r="F8" s="299">
        <v>1339</v>
      </c>
      <c r="G8" s="91"/>
      <c r="H8" s="299">
        <v>1054</v>
      </c>
      <c r="I8" s="91"/>
      <c r="J8" s="299">
        <v>1211</v>
      </c>
      <c r="K8" s="91"/>
      <c r="L8" s="299">
        <v>1067</v>
      </c>
      <c r="M8" s="91"/>
      <c r="N8" s="299">
        <v>1244</v>
      </c>
      <c r="O8" s="91"/>
      <c r="P8" s="299">
        <v>1164</v>
      </c>
      <c r="Q8" s="91"/>
      <c r="R8" s="299">
        <v>1373</v>
      </c>
      <c r="S8" s="246"/>
      <c r="T8" s="299">
        <v>1622</v>
      </c>
      <c r="U8" s="45">
        <v>751</v>
      </c>
      <c r="V8" s="299">
        <v>1110</v>
      </c>
      <c r="W8" s="45">
        <v>880</v>
      </c>
      <c r="X8" s="299">
        <v>1162</v>
      </c>
      <c r="Y8" s="45">
        <v>1058</v>
      </c>
      <c r="Z8" s="277">
        <v>901</v>
      </c>
      <c r="AA8" s="75"/>
      <c r="AB8" s="277"/>
      <c r="AC8" s="286">
        <f t="shared" si="0"/>
        <v>2689</v>
      </c>
      <c r="AD8" s="287">
        <f t="shared" si="1"/>
        <v>14946</v>
      </c>
    </row>
    <row r="9" spans="1:30" ht="12.75" customHeight="1">
      <c r="A9" s="225">
        <f t="shared" si="2"/>
        <v>4</v>
      </c>
      <c r="B9" s="238" t="s">
        <v>66</v>
      </c>
      <c r="C9" s="252"/>
      <c r="D9" s="298">
        <v>1483</v>
      </c>
      <c r="E9" s="187">
        <v>747.31</v>
      </c>
      <c r="F9" s="298">
        <v>2478</v>
      </c>
      <c r="G9" s="187">
        <v>1032.23</v>
      </c>
      <c r="H9" s="298">
        <v>1558</v>
      </c>
      <c r="I9" s="187">
        <v>1009</v>
      </c>
      <c r="J9" s="298">
        <v>1835</v>
      </c>
      <c r="K9" s="187">
        <v>1322</v>
      </c>
      <c r="L9" s="298">
        <v>1538</v>
      </c>
      <c r="M9" s="296">
        <v>1428</v>
      </c>
      <c r="N9" s="298">
        <v>1702</v>
      </c>
      <c r="O9" s="296">
        <v>1234</v>
      </c>
      <c r="P9" s="298">
        <v>1687</v>
      </c>
      <c r="Q9" s="296">
        <v>1660</v>
      </c>
      <c r="R9" s="298">
        <v>1640</v>
      </c>
      <c r="S9" s="296">
        <v>1723</v>
      </c>
      <c r="T9" s="299">
        <v>1999</v>
      </c>
      <c r="U9" s="296">
        <v>1949</v>
      </c>
      <c r="V9" s="299">
        <v>1617</v>
      </c>
      <c r="W9" s="296">
        <v>1641</v>
      </c>
      <c r="X9" s="299">
        <v>1871</v>
      </c>
      <c r="Y9" s="296">
        <v>1797</v>
      </c>
      <c r="Z9" s="278">
        <v>1606</v>
      </c>
      <c r="AA9" s="39"/>
      <c r="AB9" s="278"/>
      <c r="AC9" s="286">
        <f t="shared" si="0"/>
        <v>15542.54</v>
      </c>
      <c r="AD9" s="287">
        <f t="shared" si="1"/>
        <v>21014</v>
      </c>
    </row>
    <row r="10" spans="1:30" ht="12.75" customHeight="1">
      <c r="A10" s="225">
        <f t="shared" si="2"/>
        <v>5</v>
      </c>
      <c r="B10" s="238" t="s">
        <v>1</v>
      </c>
      <c r="C10" s="311">
        <v>722</v>
      </c>
      <c r="D10" s="298">
        <v>863</v>
      </c>
      <c r="E10" s="290">
        <v>660</v>
      </c>
      <c r="F10" s="299">
        <v>990</v>
      </c>
      <c r="G10" s="290">
        <v>621</v>
      </c>
      <c r="H10" s="299">
        <v>762</v>
      </c>
      <c r="I10" s="290">
        <v>699</v>
      </c>
      <c r="J10" s="299">
        <v>834</v>
      </c>
      <c r="K10" s="290">
        <v>712</v>
      </c>
      <c r="L10" s="299">
        <v>759</v>
      </c>
      <c r="M10" s="293">
        <v>726</v>
      </c>
      <c r="N10" s="299">
        <v>940</v>
      </c>
      <c r="O10" s="293">
        <v>827</v>
      </c>
      <c r="P10" s="299">
        <v>821</v>
      </c>
      <c r="Q10" s="293">
        <v>988</v>
      </c>
      <c r="R10" s="299">
        <v>923</v>
      </c>
      <c r="S10" s="296">
        <v>899</v>
      </c>
      <c r="T10" s="299">
        <v>1213</v>
      </c>
      <c r="U10" s="296">
        <v>990</v>
      </c>
      <c r="V10" s="299">
        <v>864</v>
      </c>
      <c r="W10" s="296">
        <v>818</v>
      </c>
      <c r="X10" s="299">
        <v>948</v>
      </c>
      <c r="Y10" s="296">
        <v>835</v>
      </c>
      <c r="Z10" s="279">
        <v>899</v>
      </c>
      <c r="AA10" s="32"/>
      <c r="AB10" s="279"/>
      <c r="AC10" s="286">
        <f t="shared" si="0"/>
        <v>9497</v>
      </c>
      <c r="AD10" s="287">
        <f t="shared" si="1"/>
        <v>10816</v>
      </c>
    </row>
    <row r="11" spans="1:30" ht="12.75">
      <c r="A11" s="225">
        <f t="shared" si="2"/>
        <v>6</v>
      </c>
      <c r="B11" s="239" t="s">
        <v>53</v>
      </c>
      <c r="C11" s="225">
        <v>337</v>
      </c>
      <c r="D11" s="299">
        <v>638</v>
      </c>
      <c r="E11" s="74">
        <v>325</v>
      </c>
      <c r="F11" s="299">
        <v>539</v>
      </c>
      <c r="G11" s="74">
        <v>306</v>
      </c>
      <c r="H11" s="299">
        <v>487</v>
      </c>
      <c r="I11" s="74">
        <v>451</v>
      </c>
      <c r="J11" s="299">
        <v>544</v>
      </c>
      <c r="K11" s="74">
        <v>436</v>
      </c>
      <c r="L11" s="299">
        <v>625</v>
      </c>
      <c r="M11" s="294">
        <v>395</v>
      </c>
      <c r="N11" s="299">
        <v>495</v>
      </c>
      <c r="O11" s="294">
        <v>423</v>
      </c>
      <c r="P11" s="299">
        <v>453</v>
      </c>
      <c r="Q11" s="294">
        <v>433</v>
      </c>
      <c r="R11" s="299">
        <v>601</v>
      </c>
      <c r="S11" s="185">
        <v>470</v>
      </c>
      <c r="T11" s="299">
        <v>841</v>
      </c>
      <c r="U11" s="185">
        <v>483</v>
      </c>
      <c r="V11" s="299">
        <v>651</v>
      </c>
      <c r="W11" s="185">
        <v>496</v>
      </c>
      <c r="X11" s="299">
        <v>692</v>
      </c>
      <c r="Y11" s="185">
        <v>501</v>
      </c>
      <c r="Z11" s="280">
        <v>687</v>
      </c>
      <c r="AA11" s="41"/>
      <c r="AB11" s="280"/>
      <c r="AC11" s="286">
        <f t="shared" si="0"/>
        <v>5056</v>
      </c>
      <c r="AD11" s="287">
        <f t="shared" si="1"/>
        <v>7253</v>
      </c>
    </row>
    <row r="12" spans="1:30" ht="12.75">
      <c r="A12" s="225">
        <f t="shared" si="2"/>
        <v>7</v>
      </c>
      <c r="B12" s="239" t="s">
        <v>50</v>
      </c>
      <c r="C12" s="225">
        <v>426</v>
      </c>
      <c r="D12" s="299">
        <v>642</v>
      </c>
      <c r="E12" s="74">
        <v>433</v>
      </c>
      <c r="F12" s="299">
        <v>683</v>
      </c>
      <c r="G12" s="74">
        <v>433</v>
      </c>
      <c r="H12" s="299">
        <v>600</v>
      </c>
      <c r="I12" s="74">
        <v>525</v>
      </c>
      <c r="J12" s="299">
        <v>658</v>
      </c>
      <c r="K12" s="74">
        <v>523</v>
      </c>
      <c r="L12" s="299">
        <v>725</v>
      </c>
      <c r="M12" s="294">
        <v>642</v>
      </c>
      <c r="N12" s="299">
        <v>613</v>
      </c>
      <c r="O12" s="294">
        <v>617</v>
      </c>
      <c r="P12" s="299">
        <v>623</v>
      </c>
      <c r="Q12" s="294">
        <v>652</v>
      </c>
      <c r="R12" s="299">
        <v>808</v>
      </c>
      <c r="S12" s="185">
        <v>642</v>
      </c>
      <c r="T12" s="299">
        <v>934</v>
      </c>
      <c r="U12" s="185">
        <v>604</v>
      </c>
      <c r="V12" s="299">
        <v>738</v>
      </c>
      <c r="W12" s="185">
        <v>546</v>
      </c>
      <c r="X12" s="299">
        <v>820</v>
      </c>
      <c r="Y12" s="185">
        <v>542</v>
      </c>
      <c r="Z12" s="281">
        <v>754</v>
      </c>
      <c r="AA12" s="33"/>
      <c r="AB12" s="281"/>
      <c r="AC12" s="286">
        <f t="shared" si="0"/>
        <v>6585</v>
      </c>
      <c r="AD12" s="287">
        <f t="shared" si="1"/>
        <v>8598</v>
      </c>
    </row>
    <row r="13" spans="1:30" ht="12.75" customHeight="1">
      <c r="A13" s="225">
        <f t="shared" si="2"/>
        <v>8</v>
      </c>
      <c r="B13" s="77" t="s">
        <v>0</v>
      </c>
      <c r="C13" s="225">
        <v>966</v>
      </c>
      <c r="D13" s="299">
        <v>945</v>
      </c>
      <c r="E13" s="74">
        <v>846</v>
      </c>
      <c r="F13" s="299">
        <v>981</v>
      </c>
      <c r="G13" s="253">
        <v>785</v>
      </c>
      <c r="H13" s="299">
        <v>1026</v>
      </c>
      <c r="I13" s="74">
        <v>870</v>
      </c>
      <c r="J13" s="299">
        <v>860</v>
      </c>
      <c r="K13" s="74">
        <v>922</v>
      </c>
      <c r="L13" s="299">
        <v>1015</v>
      </c>
      <c r="M13" s="294">
        <v>933</v>
      </c>
      <c r="N13" s="299">
        <v>972</v>
      </c>
      <c r="O13" s="294">
        <v>940</v>
      </c>
      <c r="P13" s="299">
        <v>936</v>
      </c>
      <c r="Q13" s="294">
        <v>1133</v>
      </c>
      <c r="R13" s="299">
        <v>1022</v>
      </c>
      <c r="S13" s="185">
        <v>1096</v>
      </c>
      <c r="T13" s="299">
        <v>1247</v>
      </c>
      <c r="U13" s="185">
        <v>1125</v>
      </c>
      <c r="V13" s="299">
        <v>1077</v>
      </c>
      <c r="W13" s="185">
        <v>942</v>
      </c>
      <c r="X13" s="299">
        <v>1014</v>
      </c>
      <c r="Y13" s="185">
        <v>996</v>
      </c>
      <c r="Z13" s="281">
        <v>932</v>
      </c>
      <c r="AA13" s="33"/>
      <c r="AB13" s="281"/>
      <c r="AC13" s="286">
        <f t="shared" si="0"/>
        <v>11554</v>
      </c>
      <c r="AD13" s="287">
        <f t="shared" si="1"/>
        <v>12027</v>
      </c>
    </row>
    <row r="14" spans="1:30" ht="12.75" customHeight="1">
      <c r="A14" s="225">
        <f t="shared" si="2"/>
        <v>9</v>
      </c>
      <c r="B14" s="77" t="s">
        <v>74</v>
      </c>
      <c r="C14" s="251"/>
      <c r="D14" s="299">
        <v>846</v>
      </c>
      <c r="E14" s="230"/>
      <c r="F14" s="299">
        <v>1324</v>
      </c>
      <c r="G14" s="91"/>
      <c r="H14" s="299">
        <v>815</v>
      </c>
      <c r="I14" s="91"/>
      <c r="J14" s="299">
        <v>862</v>
      </c>
      <c r="K14" s="225"/>
      <c r="L14" s="299">
        <v>836</v>
      </c>
      <c r="M14" s="294">
        <v>106</v>
      </c>
      <c r="N14" s="299">
        <v>811</v>
      </c>
      <c r="O14" s="294">
        <v>423</v>
      </c>
      <c r="P14" s="299">
        <v>737</v>
      </c>
      <c r="Q14" s="294">
        <v>574</v>
      </c>
      <c r="R14" s="299">
        <v>916</v>
      </c>
      <c r="S14" s="185">
        <v>2090</v>
      </c>
      <c r="T14" s="299">
        <v>1173</v>
      </c>
      <c r="U14" s="185">
        <v>828</v>
      </c>
      <c r="V14" s="299">
        <v>1702</v>
      </c>
      <c r="W14" s="185">
        <v>863</v>
      </c>
      <c r="X14" s="299">
        <v>1379</v>
      </c>
      <c r="Y14" s="185">
        <v>911</v>
      </c>
      <c r="Z14" s="281">
        <v>670</v>
      </c>
      <c r="AA14" s="33"/>
      <c r="AB14" s="281"/>
      <c r="AC14" s="286">
        <f t="shared" si="0"/>
        <v>5795</v>
      </c>
      <c r="AD14" s="287">
        <f t="shared" si="1"/>
        <v>12071</v>
      </c>
    </row>
    <row r="15" spans="1:30" ht="12.75" customHeight="1">
      <c r="A15" s="225">
        <f t="shared" si="2"/>
        <v>10</v>
      </c>
      <c r="B15" s="77" t="s">
        <v>75</v>
      </c>
      <c r="C15" s="251"/>
      <c r="D15" s="299">
        <v>951</v>
      </c>
      <c r="E15" s="230"/>
      <c r="F15" s="299">
        <v>826</v>
      </c>
      <c r="G15" s="91"/>
      <c r="H15" s="299">
        <v>489</v>
      </c>
      <c r="I15" s="91"/>
      <c r="J15" s="299">
        <v>578</v>
      </c>
      <c r="K15" s="225"/>
      <c r="L15" s="299">
        <v>655</v>
      </c>
      <c r="M15" s="294">
        <v>177</v>
      </c>
      <c r="N15" s="299">
        <v>665</v>
      </c>
      <c r="O15" s="294">
        <v>412</v>
      </c>
      <c r="P15" s="299">
        <v>599</v>
      </c>
      <c r="Q15" s="294">
        <v>502</v>
      </c>
      <c r="R15" s="299">
        <v>805</v>
      </c>
      <c r="S15" s="185">
        <v>2071</v>
      </c>
      <c r="T15" s="299">
        <v>953</v>
      </c>
      <c r="U15" s="185">
        <v>729</v>
      </c>
      <c r="V15" s="299">
        <v>624</v>
      </c>
      <c r="W15" s="185">
        <v>648</v>
      </c>
      <c r="X15" s="299">
        <v>708</v>
      </c>
      <c r="Y15" s="185">
        <v>679</v>
      </c>
      <c r="Z15" s="281">
        <v>656</v>
      </c>
      <c r="AA15" s="33"/>
      <c r="AB15" s="281"/>
      <c r="AC15" s="286">
        <f t="shared" si="0"/>
        <v>5218</v>
      </c>
      <c r="AD15" s="287">
        <f t="shared" si="1"/>
        <v>8509</v>
      </c>
    </row>
    <row r="16" spans="1:30" ht="12.75" customHeight="1">
      <c r="A16" s="225">
        <f t="shared" si="2"/>
        <v>11</v>
      </c>
      <c r="B16" s="77" t="s">
        <v>76</v>
      </c>
      <c r="C16" s="251"/>
      <c r="D16" s="299">
        <v>990</v>
      </c>
      <c r="E16" s="230"/>
      <c r="F16" s="299">
        <v>847</v>
      </c>
      <c r="G16" s="91"/>
      <c r="H16" s="299">
        <v>567</v>
      </c>
      <c r="I16" s="91"/>
      <c r="J16" s="299">
        <v>678</v>
      </c>
      <c r="K16" s="225"/>
      <c r="L16" s="299">
        <v>852</v>
      </c>
      <c r="M16" s="294">
        <v>10</v>
      </c>
      <c r="N16" s="299">
        <v>808</v>
      </c>
      <c r="O16" s="294">
        <v>466</v>
      </c>
      <c r="P16" s="299">
        <v>787</v>
      </c>
      <c r="Q16" s="294">
        <v>656</v>
      </c>
      <c r="R16" s="299">
        <v>987</v>
      </c>
      <c r="S16" s="185">
        <v>2310</v>
      </c>
      <c r="T16" s="299">
        <v>1140</v>
      </c>
      <c r="U16" s="185">
        <v>752</v>
      </c>
      <c r="V16" s="299">
        <v>915</v>
      </c>
      <c r="W16" s="185">
        <v>614</v>
      </c>
      <c r="X16" s="299">
        <v>1025</v>
      </c>
      <c r="Y16" s="185">
        <v>697</v>
      </c>
      <c r="Z16" s="281">
        <v>671</v>
      </c>
      <c r="AA16" s="33"/>
      <c r="AB16" s="281"/>
      <c r="AC16" s="286">
        <f t="shared" si="0"/>
        <v>5505</v>
      </c>
      <c r="AD16" s="287">
        <f t="shared" si="1"/>
        <v>10267</v>
      </c>
    </row>
    <row r="17" spans="1:30" ht="12.75" customHeight="1">
      <c r="A17" s="225">
        <f t="shared" si="2"/>
        <v>12</v>
      </c>
      <c r="B17" s="77" t="s">
        <v>71</v>
      </c>
      <c r="C17" s="225"/>
      <c r="D17" s="299">
        <v>1528</v>
      </c>
      <c r="E17" s="74">
        <v>43.43</v>
      </c>
      <c r="F17" s="299">
        <v>1456</v>
      </c>
      <c r="G17" s="74">
        <v>405.28</v>
      </c>
      <c r="H17" s="299">
        <v>1011</v>
      </c>
      <c r="I17" s="74">
        <v>793</v>
      </c>
      <c r="J17" s="299">
        <v>1384</v>
      </c>
      <c r="K17" s="74">
        <v>781</v>
      </c>
      <c r="L17" s="299">
        <v>1389</v>
      </c>
      <c r="M17" s="294">
        <v>646</v>
      </c>
      <c r="N17" s="299">
        <v>1291</v>
      </c>
      <c r="O17" s="294">
        <v>1079</v>
      </c>
      <c r="P17" s="299">
        <v>1446</v>
      </c>
      <c r="Q17" s="294">
        <v>1154</v>
      </c>
      <c r="R17" s="299">
        <v>1497</v>
      </c>
      <c r="S17" s="185">
        <v>1143</v>
      </c>
      <c r="T17" s="299">
        <v>2249</v>
      </c>
      <c r="U17" s="185">
        <v>1312</v>
      </c>
      <c r="V17" s="299">
        <v>1233</v>
      </c>
      <c r="W17" s="185">
        <v>1364</v>
      </c>
      <c r="X17" s="299">
        <v>1538</v>
      </c>
      <c r="Y17" s="185">
        <v>1307</v>
      </c>
      <c r="Z17" s="281">
        <v>1427</v>
      </c>
      <c r="AA17" s="33"/>
      <c r="AB17" s="281"/>
      <c r="AC17" s="286">
        <f t="shared" si="0"/>
        <v>10027.71</v>
      </c>
      <c r="AD17" s="287">
        <f t="shared" si="1"/>
        <v>17449</v>
      </c>
    </row>
    <row r="18" spans="1:30" s="13" customFormat="1" ht="12.75">
      <c r="A18" s="225">
        <f t="shared" si="2"/>
        <v>13</v>
      </c>
      <c r="B18" s="77" t="s">
        <v>58</v>
      </c>
      <c r="C18" s="225">
        <v>743.1</v>
      </c>
      <c r="D18" s="299">
        <v>600</v>
      </c>
      <c r="E18" s="74">
        <v>548.88</v>
      </c>
      <c r="F18" s="299">
        <v>776</v>
      </c>
      <c r="G18" s="74">
        <v>570.16</v>
      </c>
      <c r="H18" s="299">
        <v>393</v>
      </c>
      <c r="I18" s="74">
        <v>554</v>
      </c>
      <c r="J18" s="299">
        <v>644</v>
      </c>
      <c r="K18" s="74">
        <v>538</v>
      </c>
      <c r="L18" s="299">
        <v>636</v>
      </c>
      <c r="M18" s="294">
        <v>483</v>
      </c>
      <c r="N18" s="299">
        <v>646</v>
      </c>
      <c r="O18" s="294">
        <v>585</v>
      </c>
      <c r="P18" s="299">
        <v>619</v>
      </c>
      <c r="Q18" s="294">
        <v>586</v>
      </c>
      <c r="R18" s="299">
        <v>597</v>
      </c>
      <c r="S18" s="185">
        <v>525</v>
      </c>
      <c r="T18" s="299">
        <v>821</v>
      </c>
      <c r="U18" s="185">
        <v>583</v>
      </c>
      <c r="V18" s="299">
        <v>504</v>
      </c>
      <c r="W18" s="185">
        <v>567</v>
      </c>
      <c r="X18" s="299">
        <v>644</v>
      </c>
      <c r="Y18" s="185">
        <v>509</v>
      </c>
      <c r="Z18" s="281">
        <v>520</v>
      </c>
      <c r="AA18" s="33"/>
      <c r="AB18" s="281"/>
      <c r="AC18" s="286">
        <f t="shared" si="0"/>
        <v>6792.139999999999</v>
      </c>
      <c r="AD18" s="287">
        <f t="shared" si="1"/>
        <v>7400</v>
      </c>
    </row>
    <row r="19" spans="1:30" s="13" customFormat="1" ht="12.75">
      <c r="A19" s="225">
        <f t="shared" si="2"/>
        <v>14</v>
      </c>
      <c r="B19" s="77" t="s">
        <v>59</v>
      </c>
      <c r="C19" s="225">
        <v>338.84</v>
      </c>
      <c r="D19" s="299">
        <v>819</v>
      </c>
      <c r="E19" s="74">
        <v>332.89</v>
      </c>
      <c r="F19" s="299">
        <v>510</v>
      </c>
      <c r="G19" s="74">
        <v>244.33</v>
      </c>
      <c r="H19" s="299">
        <v>266</v>
      </c>
      <c r="I19" s="74">
        <v>305</v>
      </c>
      <c r="J19" s="299">
        <v>425</v>
      </c>
      <c r="K19" s="74">
        <v>323</v>
      </c>
      <c r="L19" s="299">
        <v>438</v>
      </c>
      <c r="M19" s="294">
        <v>365</v>
      </c>
      <c r="N19" s="299">
        <v>367</v>
      </c>
      <c r="O19" s="294">
        <v>401</v>
      </c>
      <c r="P19" s="299">
        <v>495</v>
      </c>
      <c r="Q19" s="294">
        <v>429</v>
      </c>
      <c r="R19" s="299">
        <v>491</v>
      </c>
      <c r="S19" s="185">
        <v>427</v>
      </c>
      <c r="T19" s="299">
        <v>615</v>
      </c>
      <c r="U19" s="185">
        <v>456</v>
      </c>
      <c r="V19" s="299">
        <v>370</v>
      </c>
      <c r="W19" s="185">
        <v>395</v>
      </c>
      <c r="X19" s="299">
        <v>459</v>
      </c>
      <c r="Y19" s="185">
        <v>428</v>
      </c>
      <c r="Z19" s="281">
        <v>404</v>
      </c>
      <c r="AA19" s="33"/>
      <c r="AB19" s="281"/>
      <c r="AC19" s="286">
        <f t="shared" si="0"/>
        <v>4445.0599999999995</v>
      </c>
      <c r="AD19" s="287">
        <f t="shared" si="1"/>
        <v>5659</v>
      </c>
    </row>
    <row r="20" spans="1:30" s="13" customFormat="1" ht="12.75">
      <c r="A20" s="225">
        <f t="shared" si="2"/>
        <v>15</v>
      </c>
      <c r="B20" s="77" t="s">
        <v>63</v>
      </c>
      <c r="C20" s="251"/>
      <c r="D20" s="299">
        <v>625</v>
      </c>
      <c r="E20" s="74">
        <v>13.24</v>
      </c>
      <c r="F20" s="299">
        <v>651</v>
      </c>
      <c r="G20" s="74">
        <v>247.98</v>
      </c>
      <c r="H20" s="299">
        <v>328</v>
      </c>
      <c r="I20" s="74">
        <v>278</v>
      </c>
      <c r="J20" s="299">
        <v>416</v>
      </c>
      <c r="K20" s="74">
        <v>366</v>
      </c>
      <c r="L20" s="299">
        <v>383</v>
      </c>
      <c r="M20" s="294">
        <v>364</v>
      </c>
      <c r="N20" s="299">
        <v>434</v>
      </c>
      <c r="O20" s="294">
        <v>948</v>
      </c>
      <c r="P20" s="299">
        <v>402</v>
      </c>
      <c r="Q20" s="294">
        <v>164</v>
      </c>
      <c r="R20" s="299">
        <v>412</v>
      </c>
      <c r="S20" s="185">
        <v>474</v>
      </c>
      <c r="T20" s="299">
        <v>513</v>
      </c>
      <c r="U20" s="185">
        <v>491</v>
      </c>
      <c r="V20" s="299">
        <v>372</v>
      </c>
      <c r="W20" s="185">
        <v>499</v>
      </c>
      <c r="X20" s="299">
        <v>479</v>
      </c>
      <c r="Y20" s="185">
        <v>543</v>
      </c>
      <c r="Z20" s="281">
        <v>488</v>
      </c>
      <c r="AA20" s="33"/>
      <c r="AB20" s="281"/>
      <c r="AC20" s="286">
        <f t="shared" si="0"/>
        <v>4388.22</v>
      </c>
      <c r="AD20" s="287">
        <f t="shared" si="1"/>
        <v>5503</v>
      </c>
    </row>
    <row r="21" spans="1:30" s="13" customFormat="1" ht="12.75">
      <c r="A21" s="225">
        <f t="shared" si="2"/>
        <v>16</v>
      </c>
      <c r="B21" s="26" t="s">
        <v>73</v>
      </c>
      <c r="C21" s="228"/>
      <c r="D21" s="299">
        <v>2292</v>
      </c>
      <c r="E21" s="230"/>
      <c r="F21" s="299">
        <v>3201</v>
      </c>
      <c r="G21" s="91"/>
      <c r="H21" s="299">
        <v>1668</v>
      </c>
      <c r="I21" s="225"/>
      <c r="J21" s="299">
        <v>2790</v>
      </c>
      <c r="K21" s="74">
        <v>27</v>
      </c>
      <c r="L21" s="299">
        <f>1500+994</f>
        <v>2494</v>
      </c>
      <c r="M21" s="294">
        <v>597</v>
      </c>
      <c r="N21" s="299">
        <f>1386+978</f>
        <v>2364</v>
      </c>
      <c r="O21" s="294">
        <v>780</v>
      </c>
      <c r="P21" s="299">
        <f>1510+963</f>
        <v>2473</v>
      </c>
      <c r="Q21" s="294">
        <v>915</v>
      </c>
      <c r="R21" s="299">
        <f>1527+1127</f>
        <v>2654</v>
      </c>
      <c r="S21" s="185">
        <f>910+335</f>
        <v>1245</v>
      </c>
      <c r="T21" s="299">
        <f>1390+2067</f>
        <v>3457</v>
      </c>
      <c r="U21" s="185">
        <f>750+1294</f>
        <v>2044</v>
      </c>
      <c r="V21" s="299">
        <f>1719+870</f>
        <v>2589</v>
      </c>
      <c r="W21" s="185">
        <f>1397+681</f>
        <v>2078</v>
      </c>
      <c r="X21" s="299">
        <v>3389</v>
      </c>
      <c r="Y21" s="185">
        <v>2159</v>
      </c>
      <c r="Z21" s="278">
        <f>1932+994</f>
        <v>2926</v>
      </c>
      <c r="AA21" s="39"/>
      <c r="AB21" s="278"/>
      <c r="AC21" s="286">
        <f t="shared" si="0"/>
        <v>9845</v>
      </c>
      <c r="AD21" s="287">
        <f t="shared" si="1"/>
        <v>32297</v>
      </c>
    </row>
    <row r="22" spans="1:30" s="13" customFormat="1" ht="12.75">
      <c r="A22" s="225">
        <f t="shared" si="2"/>
        <v>17</v>
      </c>
      <c r="B22" s="77" t="s">
        <v>64</v>
      </c>
      <c r="C22" s="225">
        <v>1936.68</v>
      </c>
      <c r="D22" s="299">
        <v>2942.5</v>
      </c>
      <c r="E22" s="74">
        <v>779.72</v>
      </c>
      <c r="F22" s="299">
        <v>1943</v>
      </c>
      <c r="G22" s="74">
        <v>1134.36</v>
      </c>
      <c r="H22" s="299">
        <v>1029</v>
      </c>
      <c r="I22" s="74">
        <v>1162</v>
      </c>
      <c r="J22" s="299">
        <v>1645</v>
      </c>
      <c r="K22" s="74">
        <v>1404</v>
      </c>
      <c r="L22" s="299">
        <v>1537</v>
      </c>
      <c r="M22" s="294">
        <v>1388</v>
      </c>
      <c r="N22" s="299">
        <v>1403</v>
      </c>
      <c r="O22" s="294">
        <v>1713</v>
      </c>
      <c r="P22" s="299">
        <v>1649</v>
      </c>
      <c r="Q22" s="294">
        <v>1720</v>
      </c>
      <c r="R22" s="299">
        <v>1738</v>
      </c>
      <c r="S22" s="185">
        <v>1718</v>
      </c>
      <c r="T22" s="299">
        <v>2429</v>
      </c>
      <c r="U22" s="185">
        <v>1168</v>
      </c>
      <c r="V22" s="299">
        <v>1512</v>
      </c>
      <c r="W22" s="185">
        <v>1735</v>
      </c>
      <c r="X22" s="299">
        <v>1834</v>
      </c>
      <c r="Y22" s="185">
        <v>1494</v>
      </c>
      <c r="Z22" s="281">
        <v>1753</v>
      </c>
      <c r="AA22" s="33"/>
      <c r="AB22" s="281"/>
      <c r="AC22" s="286">
        <f t="shared" si="0"/>
        <v>17352.760000000002</v>
      </c>
      <c r="AD22" s="287">
        <f t="shared" si="1"/>
        <v>21414.5</v>
      </c>
    </row>
    <row r="23" spans="1:30" s="13" customFormat="1" ht="12.75">
      <c r="A23" s="225">
        <f t="shared" si="2"/>
        <v>18</v>
      </c>
      <c r="B23" s="240" t="s">
        <v>87</v>
      </c>
      <c r="C23" s="228"/>
      <c r="D23" s="312"/>
      <c r="E23" s="228"/>
      <c r="F23" s="266"/>
      <c r="G23" s="91"/>
      <c r="H23" s="299">
        <v>420</v>
      </c>
      <c r="I23" s="225"/>
      <c r="J23" s="299">
        <v>553</v>
      </c>
      <c r="K23" s="91"/>
      <c r="L23" s="299">
        <f>762+173</f>
        <v>935</v>
      </c>
      <c r="M23" s="91"/>
      <c r="N23" s="299">
        <f>744+420</f>
        <v>1164</v>
      </c>
      <c r="O23" s="91"/>
      <c r="P23" s="299">
        <f>766+550</f>
        <v>1316</v>
      </c>
      <c r="Q23" s="91"/>
      <c r="R23" s="299">
        <f>806+516</f>
        <v>1322</v>
      </c>
      <c r="S23" s="247"/>
      <c r="T23" s="299">
        <f>837+769</f>
        <v>1606</v>
      </c>
      <c r="U23" s="90"/>
      <c r="V23" s="299">
        <f>361+604</f>
        <v>965</v>
      </c>
      <c r="W23" s="90"/>
      <c r="X23" s="299">
        <v>1102</v>
      </c>
      <c r="Y23" s="33"/>
      <c r="Z23" s="281">
        <f>181+737</f>
        <v>918</v>
      </c>
      <c r="AA23" s="33"/>
      <c r="AB23" s="281"/>
      <c r="AC23" s="286">
        <f t="shared" si="0"/>
        <v>0</v>
      </c>
      <c r="AD23" s="287">
        <f t="shared" si="1"/>
        <v>10301</v>
      </c>
    </row>
    <row r="24" spans="1:30" s="13" customFormat="1" ht="12.75">
      <c r="A24" s="225">
        <f t="shared" si="2"/>
        <v>19</v>
      </c>
      <c r="B24" s="77" t="s">
        <v>56</v>
      </c>
      <c r="C24" s="225">
        <f>923+997.03</f>
        <v>1920.03</v>
      </c>
      <c r="D24" s="299">
        <v>3962</v>
      </c>
      <c r="E24" s="74">
        <f>858+1156.65</f>
        <v>2014.65</v>
      </c>
      <c r="F24" s="299">
        <v>2759</v>
      </c>
      <c r="G24" s="74">
        <f>910+963.25</f>
        <v>1873.25</v>
      </c>
      <c r="H24" s="299">
        <v>1458</v>
      </c>
      <c r="I24" s="74">
        <f>370+839</f>
        <v>1209</v>
      </c>
      <c r="J24" s="299">
        <v>2506</v>
      </c>
      <c r="K24" s="225">
        <v>1750</v>
      </c>
      <c r="L24" s="299">
        <f>1301+1003</f>
        <v>2304</v>
      </c>
      <c r="M24" s="294">
        <v>2452</v>
      </c>
      <c r="N24" s="299">
        <f>1212+1034</f>
        <v>2246</v>
      </c>
      <c r="O24" s="294">
        <f>1058+1313</f>
        <v>2371</v>
      </c>
      <c r="P24" s="299">
        <f>1326+1034</f>
        <v>2360</v>
      </c>
      <c r="Q24" s="294">
        <f>1090+1260</f>
        <v>2350</v>
      </c>
      <c r="R24" s="299">
        <f>1289+1394</f>
        <v>2683</v>
      </c>
      <c r="S24" s="185">
        <f>1207+1198</f>
        <v>2405</v>
      </c>
      <c r="T24" s="299">
        <f>1632+1395</f>
        <v>3027</v>
      </c>
      <c r="U24" s="185">
        <f>1369+1443</f>
        <v>2812</v>
      </c>
      <c r="V24" s="299">
        <v>1407</v>
      </c>
      <c r="W24" s="185">
        <f>1292+678</f>
        <v>1970</v>
      </c>
      <c r="X24" s="303">
        <v>3850</v>
      </c>
      <c r="Y24" s="185">
        <v>2096</v>
      </c>
      <c r="Z24" s="281">
        <f>1469+759</f>
        <v>2228</v>
      </c>
      <c r="AA24" s="33"/>
      <c r="AB24" s="281"/>
      <c r="AC24" s="286">
        <f t="shared" si="0"/>
        <v>25222.93</v>
      </c>
      <c r="AD24" s="287">
        <f t="shared" si="1"/>
        <v>30790</v>
      </c>
    </row>
    <row r="25" spans="1:30" ht="12.75" customHeight="1">
      <c r="A25" s="225">
        <f t="shared" si="2"/>
        <v>20</v>
      </c>
      <c r="B25" s="241" t="s">
        <v>62</v>
      </c>
      <c r="C25" s="225">
        <v>1442.73</v>
      </c>
      <c r="D25" s="299">
        <v>3453</v>
      </c>
      <c r="E25" s="74">
        <v>1683.39</v>
      </c>
      <c r="F25" s="299">
        <v>2354</v>
      </c>
      <c r="G25" s="74">
        <v>1416.75</v>
      </c>
      <c r="H25" s="299">
        <v>1241</v>
      </c>
      <c r="I25" s="74">
        <v>1571</v>
      </c>
      <c r="J25" s="299">
        <v>1992</v>
      </c>
      <c r="K25" s="225">
        <v>1665</v>
      </c>
      <c r="L25" s="299">
        <v>1909</v>
      </c>
      <c r="M25" s="294">
        <v>1629</v>
      </c>
      <c r="N25" s="299">
        <v>1879</v>
      </c>
      <c r="O25" s="294">
        <v>1488</v>
      </c>
      <c r="P25" s="299">
        <v>1834</v>
      </c>
      <c r="Q25" s="294">
        <v>1831</v>
      </c>
      <c r="R25" s="299">
        <v>1997</v>
      </c>
      <c r="S25" s="185">
        <v>2001</v>
      </c>
      <c r="T25" s="299">
        <v>2310</v>
      </c>
      <c r="U25" s="185">
        <v>2235</v>
      </c>
      <c r="V25" s="299">
        <v>1835</v>
      </c>
      <c r="W25" s="185">
        <v>2062</v>
      </c>
      <c r="X25" s="299">
        <v>2198</v>
      </c>
      <c r="Y25" s="185">
        <v>1957</v>
      </c>
      <c r="Z25" s="281">
        <v>2113</v>
      </c>
      <c r="AA25" s="33"/>
      <c r="AB25" s="281"/>
      <c r="AC25" s="286">
        <f t="shared" si="0"/>
        <v>20981.87</v>
      </c>
      <c r="AD25" s="287">
        <f t="shared" si="1"/>
        <v>25115</v>
      </c>
    </row>
    <row r="26" spans="1:30" s="13" customFormat="1" ht="12.75">
      <c r="A26" s="225">
        <f t="shared" si="2"/>
        <v>21</v>
      </c>
      <c r="B26" s="77" t="s">
        <v>54</v>
      </c>
      <c r="C26" s="225">
        <v>2041.94</v>
      </c>
      <c r="D26" s="299">
        <v>3785</v>
      </c>
      <c r="E26" s="74">
        <v>1973.76</v>
      </c>
      <c r="F26" s="299">
        <v>2459</v>
      </c>
      <c r="G26" s="74">
        <v>1613.1</v>
      </c>
      <c r="H26" s="299">
        <v>1291</v>
      </c>
      <c r="I26" s="74">
        <v>1772</v>
      </c>
      <c r="J26" s="299">
        <v>2240</v>
      </c>
      <c r="K26" s="225">
        <v>1927</v>
      </c>
      <c r="L26" s="299">
        <v>2120</v>
      </c>
      <c r="M26" s="294">
        <v>1828</v>
      </c>
      <c r="N26" s="299">
        <v>1863</v>
      </c>
      <c r="O26" s="294">
        <v>1759</v>
      </c>
      <c r="P26" s="299">
        <v>1896</v>
      </c>
      <c r="Q26" s="294">
        <v>2116</v>
      </c>
      <c r="R26" s="299">
        <v>2057</v>
      </c>
      <c r="S26" s="185">
        <v>2127</v>
      </c>
      <c r="T26" s="299">
        <v>2765</v>
      </c>
      <c r="U26" s="185">
        <v>2242</v>
      </c>
      <c r="V26" s="299">
        <v>1818</v>
      </c>
      <c r="W26" s="185">
        <v>1724</v>
      </c>
      <c r="X26" s="299">
        <v>2165</v>
      </c>
      <c r="Y26" s="185">
        <v>1875</v>
      </c>
      <c r="Z26" s="281">
        <v>2127</v>
      </c>
      <c r="AA26" s="33"/>
      <c r="AB26" s="281"/>
      <c r="AC26" s="286">
        <f t="shared" si="0"/>
        <v>22998.8</v>
      </c>
      <c r="AD26" s="287">
        <f t="shared" si="1"/>
        <v>26586</v>
      </c>
    </row>
    <row r="27" spans="1:30" ht="12.75" customHeight="1">
      <c r="A27" s="225">
        <f t="shared" si="2"/>
        <v>22</v>
      </c>
      <c r="B27" s="77" t="s">
        <v>51</v>
      </c>
      <c r="C27" s="225">
        <f>2388.21+1512</f>
        <v>3900.21</v>
      </c>
      <c r="D27" s="299">
        <v>6377</v>
      </c>
      <c r="E27" s="74">
        <f>2290.98+1286</f>
        <v>3576.98</v>
      </c>
      <c r="F27" s="299">
        <v>4416</v>
      </c>
      <c r="G27" s="74">
        <f>114.18+1266</f>
        <v>1380.18</v>
      </c>
      <c r="H27" s="299">
        <v>2569</v>
      </c>
      <c r="I27" s="74">
        <f>128+1412</f>
        <v>1540</v>
      </c>
      <c r="J27" s="299">
        <v>4178</v>
      </c>
      <c r="K27" s="225">
        <v>3531</v>
      </c>
      <c r="L27" s="299">
        <f>2330+1394</f>
        <v>3724</v>
      </c>
      <c r="M27" s="294">
        <v>3450</v>
      </c>
      <c r="N27" s="299">
        <f>2170+1322</f>
        <v>3492</v>
      </c>
      <c r="O27" s="294">
        <v>3350</v>
      </c>
      <c r="P27" s="299">
        <f>2562+1466</f>
        <v>4028</v>
      </c>
      <c r="Q27" s="294">
        <f>2541+1332</f>
        <v>3873</v>
      </c>
      <c r="R27" s="299">
        <f>2562+1248</f>
        <v>3810</v>
      </c>
      <c r="S27" s="185">
        <f>2575+1371</f>
        <v>3946</v>
      </c>
      <c r="T27" s="299">
        <f>3604+1805</f>
        <v>5409</v>
      </c>
      <c r="U27" s="185">
        <f>2799+1544</f>
        <v>4343</v>
      </c>
      <c r="V27" s="299">
        <f>2335+731</f>
        <v>3066</v>
      </c>
      <c r="W27" s="185">
        <f>2173+1398</f>
        <v>3571</v>
      </c>
      <c r="X27" s="299">
        <v>3865</v>
      </c>
      <c r="Y27" s="185">
        <v>3655</v>
      </c>
      <c r="Z27" s="281">
        <f>2901+1535</f>
        <v>4436</v>
      </c>
      <c r="AA27" s="33"/>
      <c r="AB27" s="281"/>
      <c r="AC27" s="286">
        <f t="shared" si="0"/>
        <v>40116.37</v>
      </c>
      <c r="AD27" s="287">
        <f t="shared" si="1"/>
        <v>49370</v>
      </c>
    </row>
    <row r="28" spans="1:30" s="13" customFormat="1" ht="12.75">
      <c r="A28" s="225">
        <f t="shared" si="2"/>
        <v>23</v>
      </c>
      <c r="B28" s="239" t="s">
        <v>57</v>
      </c>
      <c r="C28" s="225">
        <f>994.1+1418.95</f>
        <v>2413.05</v>
      </c>
      <c r="D28" s="299">
        <v>2740</v>
      </c>
      <c r="E28" s="74">
        <f>648.1+1709</f>
        <v>2357.1</v>
      </c>
      <c r="F28" s="299">
        <v>3392</v>
      </c>
      <c r="G28" s="74">
        <f>263.08+1673</f>
        <v>1936.08</v>
      </c>
      <c r="H28" s="299">
        <v>2235</v>
      </c>
      <c r="I28" s="74">
        <f>269+1769</f>
        <v>2038</v>
      </c>
      <c r="J28" s="299">
        <v>2132</v>
      </c>
      <c r="K28" s="225">
        <v>2287</v>
      </c>
      <c r="L28" s="299">
        <v>2425</v>
      </c>
      <c r="M28" s="294">
        <v>2305</v>
      </c>
      <c r="N28" s="299">
        <v>2394</v>
      </c>
      <c r="O28" s="294">
        <v>2445</v>
      </c>
      <c r="P28" s="299">
        <v>2396</v>
      </c>
      <c r="Q28" s="294">
        <f>803+1680</f>
        <v>2483</v>
      </c>
      <c r="R28" s="299">
        <v>2308</v>
      </c>
      <c r="S28" s="185">
        <f>764+1829</f>
        <v>2593</v>
      </c>
      <c r="T28" s="299">
        <v>3444</v>
      </c>
      <c r="U28" s="185">
        <f>621+1864</f>
        <v>2485</v>
      </c>
      <c r="V28" s="299">
        <v>3391</v>
      </c>
      <c r="W28" s="185">
        <f>228+1956</f>
        <v>2184</v>
      </c>
      <c r="X28" s="299">
        <v>3877</v>
      </c>
      <c r="Y28" s="185">
        <v>2573</v>
      </c>
      <c r="Z28" s="278">
        <v>3273</v>
      </c>
      <c r="AA28" s="39"/>
      <c r="AB28" s="278"/>
      <c r="AC28" s="286">
        <f t="shared" si="0"/>
        <v>28099.23</v>
      </c>
      <c r="AD28" s="287">
        <f t="shared" si="1"/>
        <v>34007</v>
      </c>
    </row>
    <row r="29" spans="1:30" ht="12.75" customHeight="1">
      <c r="A29" s="225">
        <f t="shared" si="2"/>
        <v>24</v>
      </c>
      <c r="B29" s="77" t="s">
        <v>60</v>
      </c>
      <c r="C29" s="225">
        <f>1728+1218</f>
        <v>2946</v>
      </c>
      <c r="D29" s="299">
        <v>2830</v>
      </c>
      <c r="E29" s="74">
        <f>1400+1032</f>
        <v>2432</v>
      </c>
      <c r="F29" s="299">
        <v>3134</v>
      </c>
      <c r="G29" s="74">
        <f>1246.93+1006</f>
        <v>2252.9300000000003</v>
      </c>
      <c r="H29" s="299">
        <v>2354</v>
      </c>
      <c r="I29" s="74">
        <f>1551+1087</f>
        <v>2638</v>
      </c>
      <c r="J29" s="299">
        <v>2355</v>
      </c>
      <c r="K29" s="225">
        <v>2579</v>
      </c>
      <c r="L29" s="299">
        <f>1349+1122</f>
        <v>2471</v>
      </c>
      <c r="M29" s="294">
        <v>2641</v>
      </c>
      <c r="N29" s="299">
        <f>1306+1288</f>
        <v>2594</v>
      </c>
      <c r="O29" s="294">
        <f>1477+1066</f>
        <v>2543</v>
      </c>
      <c r="P29" s="299">
        <f>1447+1156</f>
        <v>2603</v>
      </c>
      <c r="Q29" s="294">
        <f>1771+1260</f>
        <v>3031</v>
      </c>
      <c r="R29" s="299">
        <f>1782+1366</f>
        <v>3148</v>
      </c>
      <c r="S29" s="185">
        <f>1864+1299</f>
        <v>3163</v>
      </c>
      <c r="T29" s="299">
        <f>2229+1673</f>
        <v>3902</v>
      </c>
      <c r="U29" s="185">
        <f>1808+1349</f>
        <v>3157</v>
      </c>
      <c r="V29" s="299">
        <v>2935</v>
      </c>
      <c r="W29" s="185">
        <f>1547+1150</f>
        <v>2697</v>
      </c>
      <c r="X29" s="299">
        <v>3087</v>
      </c>
      <c r="Y29" s="185">
        <v>2353</v>
      </c>
      <c r="Z29" s="281">
        <v>2899</v>
      </c>
      <c r="AA29" s="33"/>
      <c r="AB29" s="281"/>
      <c r="AC29" s="286">
        <f t="shared" si="0"/>
        <v>32432.93</v>
      </c>
      <c r="AD29" s="287">
        <f t="shared" si="1"/>
        <v>34312</v>
      </c>
    </row>
    <row r="30" spans="1:30" ht="12.75" customHeight="1">
      <c r="A30" s="225">
        <f t="shared" si="2"/>
        <v>25</v>
      </c>
      <c r="B30" s="77" t="s">
        <v>52</v>
      </c>
      <c r="C30" s="225">
        <v>1018</v>
      </c>
      <c r="D30" s="299">
        <v>1003</v>
      </c>
      <c r="E30" s="74">
        <v>823</v>
      </c>
      <c r="F30" s="299">
        <v>1068</v>
      </c>
      <c r="G30" s="74">
        <v>795.62</v>
      </c>
      <c r="H30" s="299">
        <v>833</v>
      </c>
      <c r="I30" s="74">
        <v>863</v>
      </c>
      <c r="J30" s="299">
        <v>710</v>
      </c>
      <c r="K30" s="225">
        <v>818</v>
      </c>
      <c r="L30" s="299">
        <v>891</v>
      </c>
      <c r="M30" s="294">
        <v>949</v>
      </c>
      <c r="N30" s="299">
        <v>914</v>
      </c>
      <c r="O30" s="294">
        <v>885</v>
      </c>
      <c r="P30" s="299">
        <v>915</v>
      </c>
      <c r="Q30" s="294">
        <v>1073</v>
      </c>
      <c r="R30" s="299">
        <v>1086</v>
      </c>
      <c r="S30" s="185">
        <v>1195</v>
      </c>
      <c r="T30" s="299">
        <v>1335</v>
      </c>
      <c r="U30" s="185">
        <v>1048</v>
      </c>
      <c r="V30" s="299">
        <v>946</v>
      </c>
      <c r="W30" s="185">
        <v>916</v>
      </c>
      <c r="X30" s="299">
        <v>1083</v>
      </c>
      <c r="Y30" s="185">
        <v>882</v>
      </c>
      <c r="Z30" s="281">
        <v>928</v>
      </c>
      <c r="AA30" s="33"/>
      <c r="AB30" s="281"/>
      <c r="AC30" s="286">
        <f t="shared" si="0"/>
        <v>11265.619999999999</v>
      </c>
      <c r="AD30" s="287">
        <f t="shared" si="1"/>
        <v>11712</v>
      </c>
    </row>
    <row r="31" spans="1:30" ht="12.75" customHeight="1">
      <c r="A31" s="225">
        <f t="shared" si="2"/>
        <v>26</v>
      </c>
      <c r="B31" s="77" t="s">
        <v>42</v>
      </c>
      <c r="C31" s="225">
        <f>1186+896</f>
        <v>2082</v>
      </c>
      <c r="D31" s="299">
        <v>2013</v>
      </c>
      <c r="E31" s="74">
        <f>996+748</f>
        <v>1744</v>
      </c>
      <c r="F31" s="299">
        <v>2264</v>
      </c>
      <c r="G31" s="74">
        <f>979+718</f>
        <v>1697</v>
      </c>
      <c r="H31" s="299">
        <v>1750</v>
      </c>
      <c r="I31" s="74">
        <f>1041+761</f>
        <v>1802</v>
      </c>
      <c r="J31" s="299">
        <v>1859</v>
      </c>
      <c r="K31" s="225">
        <v>1826</v>
      </c>
      <c r="L31" s="299">
        <f>1044+766</f>
        <v>1810</v>
      </c>
      <c r="M31" s="294">
        <v>1897</v>
      </c>
      <c r="N31" s="299">
        <f>1141+928</f>
        <v>2069</v>
      </c>
      <c r="O31" s="294">
        <f>893+1025</f>
        <v>1918</v>
      </c>
      <c r="P31" s="299">
        <f>1064+832</f>
        <v>1896</v>
      </c>
      <c r="Q31" s="294">
        <f>1243+1019</f>
        <v>2262</v>
      </c>
      <c r="R31" s="299">
        <f>1392+1024</f>
        <v>2416</v>
      </c>
      <c r="S31" s="185">
        <f>1196+976</f>
        <v>2172</v>
      </c>
      <c r="T31" s="299">
        <f>1620+1184</f>
        <v>2804</v>
      </c>
      <c r="U31" s="185">
        <f>1618+957</f>
        <v>2575</v>
      </c>
      <c r="V31" s="299">
        <f>1069+769</f>
        <v>1838</v>
      </c>
      <c r="W31" s="185">
        <f>716+798</f>
        <v>1514</v>
      </c>
      <c r="X31" s="299">
        <v>2104</v>
      </c>
      <c r="Y31" s="185">
        <v>1801</v>
      </c>
      <c r="Z31" s="281">
        <f>1162+838</f>
        <v>2000</v>
      </c>
      <c r="AA31" s="33"/>
      <c r="AB31" s="281"/>
      <c r="AC31" s="286">
        <f t="shared" si="0"/>
        <v>23290</v>
      </c>
      <c r="AD31" s="287">
        <f t="shared" si="1"/>
        <v>24823</v>
      </c>
    </row>
    <row r="32" spans="1:30" ht="12.75" customHeight="1">
      <c r="A32" s="225">
        <f t="shared" si="2"/>
        <v>27</v>
      </c>
      <c r="B32" s="77" t="s">
        <v>2</v>
      </c>
      <c r="C32" s="225">
        <v>1861</v>
      </c>
      <c r="D32" s="299">
        <v>2065</v>
      </c>
      <c r="E32" s="74">
        <v>1517</v>
      </c>
      <c r="F32" s="299">
        <v>2123</v>
      </c>
      <c r="G32" s="74">
        <v>1500</v>
      </c>
      <c r="H32" s="299">
        <v>1699</v>
      </c>
      <c r="I32" s="74">
        <v>1705</v>
      </c>
      <c r="J32" s="299">
        <v>1872</v>
      </c>
      <c r="K32" s="74">
        <v>1687</v>
      </c>
      <c r="L32" s="299">
        <v>1821</v>
      </c>
      <c r="M32" s="294">
        <v>1893</v>
      </c>
      <c r="N32" s="299">
        <v>2022</v>
      </c>
      <c r="O32" s="294">
        <v>1858</v>
      </c>
      <c r="P32" s="299">
        <v>1808</v>
      </c>
      <c r="Q32" s="294">
        <v>2236</v>
      </c>
      <c r="R32" s="299">
        <v>2302</v>
      </c>
      <c r="S32" s="185">
        <v>2179</v>
      </c>
      <c r="T32" s="299">
        <v>2753</v>
      </c>
      <c r="U32" s="185">
        <v>2112</v>
      </c>
      <c r="V32" s="299">
        <v>1928</v>
      </c>
      <c r="W32" s="185">
        <v>1842</v>
      </c>
      <c r="X32" s="299">
        <v>2077</v>
      </c>
      <c r="Y32" s="185">
        <v>1887</v>
      </c>
      <c r="Z32" s="281">
        <v>1893</v>
      </c>
      <c r="AA32" s="33"/>
      <c r="AB32" s="281"/>
      <c r="AC32" s="286">
        <f t="shared" si="0"/>
        <v>22277</v>
      </c>
      <c r="AD32" s="287">
        <f t="shared" si="1"/>
        <v>24363</v>
      </c>
    </row>
    <row r="33" spans="1:30" ht="12.75">
      <c r="A33" s="225">
        <f t="shared" si="2"/>
        <v>28</v>
      </c>
      <c r="B33" s="77" t="s">
        <v>3</v>
      </c>
      <c r="C33" s="225">
        <v>921</v>
      </c>
      <c r="D33" s="299">
        <v>986</v>
      </c>
      <c r="E33" s="74">
        <v>805</v>
      </c>
      <c r="F33" s="299">
        <v>1020</v>
      </c>
      <c r="G33" s="74">
        <v>782</v>
      </c>
      <c r="H33" s="299">
        <v>1318</v>
      </c>
      <c r="I33" s="74">
        <v>873</v>
      </c>
      <c r="J33" s="299">
        <v>369</v>
      </c>
      <c r="K33" s="74">
        <v>860</v>
      </c>
      <c r="L33" s="299">
        <v>844</v>
      </c>
      <c r="M33" s="294">
        <v>974</v>
      </c>
      <c r="N33" s="299">
        <v>950</v>
      </c>
      <c r="O33" s="294">
        <v>962</v>
      </c>
      <c r="P33" s="299">
        <v>875</v>
      </c>
      <c r="Q33" s="294">
        <v>1101</v>
      </c>
      <c r="R33" s="299">
        <v>1088</v>
      </c>
      <c r="S33" s="185">
        <v>1170</v>
      </c>
      <c r="T33" s="299">
        <v>1302</v>
      </c>
      <c r="U33" s="185">
        <v>1126</v>
      </c>
      <c r="V33" s="299">
        <v>927</v>
      </c>
      <c r="W33" s="185">
        <v>946</v>
      </c>
      <c r="X33" s="299">
        <v>987</v>
      </c>
      <c r="Y33" s="185">
        <v>821</v>
      </c>
      <c r="Z33" s="281">
        <v>940</v>
      </c>
      <c r="AA33" s="33"/>
      <c r="AB33" s="281"/>
      <c r="AC33" s="286">
        <f t="shared" si="0"/>
        <v>11341</v>
      </c>
      <c r="AD33" s="287">
        <f t="shared" si="1"/>
        <v>11606</v>
      </c>
    </row>
    <row r="34" spans="1:30" ht="12.75">
      <c r="A34" s="225">
        <f t="shared" si="2"/>
        <v>29</v>
      </c>
      <c r="B34" s="77" t="s">
        <v>4</v>
      </c>
      <c r="C34" s="225">
        <v>1932</v>
      </c>
      <c r="D34" s="299">
        <v>1852</v>
      </c>
      <c r="E34" s="74">
        <v>1587</v>
      </c>
      <c r="F34" s="299">
        <v>1846</v>
      </c>
      <c r="G34" s="74">
        <v>1589</v>
      </c>
      <c r="H34" s="299">
        <v>1429</v>
      </c>
      <c r="I34" s="74">
        <v>1788</v>
      </c>
      <c r="J34" s="299">
        <v>1495</v>
      </c>
      <c r="K34" s="74">
        <v>1709</v>
      </c>
      <c r="L34" s="299">
        <v>1591</v>
      </c>
      <c r="M34" s="294">
        <v>1844</v>
      </c>
      <c r="N34" s="299">
        <v>1563</v>
      </c>
      <c r="O34" s="294">
        <v>1807</v>
      </c>
      <c r="P34" s="299">
        <v>1507</v>
      </c>
      <c r="Q34" s="294">
        <v>2023</v>
      </c>
      <c r="R34" s="299">
        <v>2016</v>
      </c>
      <c r="S34" s="185">
        <v>2017</v>
      </c>
      <c r="T34" s="299">
        <v>2223</v>
      </c>
      <c r="U34" s="185">
        <v>1926</v>
      </c>
      <c r="V34" s="299">
        <v>1652</v>
      </c>
      <c r="W34" s="185">
        <v>1555</v>
      </c>
      <c r="X34" s="299">
        <v>1936</v>
      </c>
      <c r="Y34" s="185">
        <v>1541</v>
      </c>
      <c r="Z34" s="281">
        <v>1658</v>
      </c>
      <c r="AA34" s="33"/>
      <c r="AB34" s="281"/>
      <c r="AC34" s="286">
        <f t="shared" si="0"/>
        <v>21318</v>
      </c>
      <c r="AD34" s="287">
        <f t="shared" si="1"/>
        <v>20768</v>
      </c>
    </row>
    <row r="35" spans="1:30" ht="12.75">
      <c r="A35" s="225">
        <f t="shared" si="2"/>
        <v>30</v>
      </c>
      <c r="B35" s="77" t="s">
        <v>5</v>
      </c>
      <c r="C35" s="225">
        <v>1871</v>
      </c>
      <c r="D35" s="299">
        <v>1893</v>
      </c>
      <c r="E35" s="74">
        <v>1607</v>
      </c>
      <c r="F35" s="298">
        <v>1932</v>
      </c>
      <c r="G35" s="74">
        <v>1630</v>
      </c>
      <c r="H35" s="299">
        <v>517</v>
      </c>
      <c r="I35" s="74">
        <v>1688</v>
      </c>
      <c r="J35" s="299">
        <v>2525</v>
      </c>
      <c r="K35" s="74">
        <v>1591</v>
      </c>
      <c r="L35" s="299">
        <v>1487</v>
      </c>
      <c r="M35" s="294">
        <v>1679</v>
      </c>
      <c r="N35" s="299">
        <v>1714</v>
      </c>
      <c r="O35" s="294">
        <v>1642</v>
      </c>
      <c r="P35" s="299">
        <v>1599</v>
      </c>
      <c r="Q35" s="294">
        <v>1886</v>
      </c>
      <c r="R35" s="299">
        <v>1920</v>
      </c>
      <c r="S35" s="185">
        <v>1908</v>
      </c>
      <c r="T35" s="299">
        <v>2047</v>
      </c>
      <c r="U35" s="185">
        <v>1841</v>
      </c>
      <c r="V35" s="299">
        <v>1511</v>
      </c>
      <c r="W35" s="185">
        <v>1667</v>
      </c>
      <c r="X35" s="299">
        <v>1705</v>
      </c>
      <c r="Y35" s="185">
        <v>1649</v>
      </c>
      <c r="Z35" s="281">
        <v>1497</v>
      </c>
      <c r="AA35" s="33"/>
      <c r="AB35" s="281"/>
      <c r="AC35" s="286">
        <f t="shared" si="0"/>
        <v>20659</v>
      </c>
      <c r="AD35" s="287">
        <f t="shared" si="1"/>
        <v>20347</v>
      </c>
    </row>
    <row r="36" spans="1:30" ht="12.75">
      <c r="A36" s="225">
        <f t="shared" si="2"/>
        <v>31</v>
      </c>
      <c r="B36" s="77" t="s">
        <v>6</v>
      </c>
      <c r="C36" s="225">
        <v>788</v>
      </c>
      <c r="D36" s="299">
        <v>715</v>
      </c>
      <c r="E36" s="225">
        <v>653</v>
      </c>
      <c r="F36" s="298">
        <v>758</v>
      </c>
      <c r="G36" s="74">
        <v>673</v>
      </c>
      <c r="H36" s="299">
        <v>693</v>
      </c>
      <c r="I36" s="74">
        <v>687</v>
      </c>
      <c r="J36" s="299">
        <v>699</v>
      </c>
      <c r="K36" s="74">
        <v>673</v>
      </c>
      <c r="L36" s="299">
        <v>602</v>
      </c>
      <c r="M36" s="294">
        <v>708</v>
      </c>
      <c r="N36" s="299">
        <v>748</v>
      </c>
      <c r="O36" s="294">
        <v>703</v>
      </c>
      <c r="P36" s="299">
        <v>651</v>
      </c>
      <c r="Q36" s="294">
        <v>871</v>
      </c>
      <c r="R36" s="299">
        <v>760</v>
      </c>
      <c r="S36" s="185">
        <v>898</v>
      </c>
      <c r="T36" s="299">
        <v>868</v>
      </c>
      <c r="U36" s="185">
        <v>770</v>
      </c>
      <c r="V36" s="299">
        <v>597</v>
      </c>
      <c r="W36" s="185">
        <v>672</v>
      </c>
      <c r="X36" s="299">
        <v>614</v>
      </c>
      <c r="Y36" s="185">
        <v>686</v>
      </c>
      <c r="Z36" s="281">
        <v>610</v>
      </c>
      <c r="AA36" s="33"/>
      <c r="AB36" s="281"/>
      <c r="AC36" s="286">
        <f t="shared" si="0"/>
        <v>8782</v>
      </c>
      <c r="AD36" s="287">
        <f t="shared" si="1"/>
        <v>8315</v>
      </c>
    </row>
    <row r="37" spans="1:30" ht="12.75">
      <c r="A37" s="225">
        <f t="shared" si="2"/>
        <v>32</v>
      </c>
      <c r="B37" s="77" t="s">
        <v>61</v>
      </c>
      <c r="C37" s="225">
        <v>2971</v>
      </c>
      <c r="D37" s="299">
        <v>2936</v>
      </c>
      <c r="E37" s="225">
        <v>2494</v>
      </c>
      <c r="F37" s="299">
        <v>3158</v>
      </c>
      <c r="G37" s="74">
        <v>2370.96</v>
      </c>
      <c r="H37" s="299">
        <v>2511</v>
      </c>
      <c r="I37" s="74">
        <v>2640</v>
      </c>
      <c r="J37" s="299">
        <v>2476</v>
      </c>
      <c r="K37" s="74">
        <v>2543</v>
      </c>
      <c r="L37" s="299">
        <v>2682</v>
      </c>
      <c r="M37" s="294">
        <v>2667</v>
      </c>
      <c r="N37" s="299">
        <v>2918</v>
      </c>
      <c r="O37" s="294">
        <v>2499</v>
      </c>
      <c r="P37" s="299">
        <v>2650</v>
      </c>
      <c r="Q37" s="294">
        <v>3077</v>
      </c>
      <c r="R37" s="299">
        <v>3273</v>
      </c>
      <c r="S37" s="185">
        <v>3094</v>
      </c>
      <c r="T37" s="299">
        <v>3866</v>
      </c>
      <c r="U37" s="185">
        <v>3212</v>
      </c>
      <c r="V37" s="299">
        <v>2763</v>
      </c>
      <c r="W37" s="185">
        <v>2773</v>
      </c>
      <c r="X37" s="299">
        <v>3059</v>
      </c>
      <c r="Y37" s="185">
        <v>2766</v>
      </c>
      <c r="Z37" s="281">
        <v>2743</v>
      </c>
      <c r="AA37" s="33"/>
      <c r="AB37" s="281"/>
      <c r="AC37" s="286">
        <f t="shared" si="0"/>
        <v>33106.96</v>
      </c>
      <c r="AD37" s="287">
        <f t="shared" si="1"/>
        <v>35035</v>
      </c>
    </row>
    <row r="38" spans="1:30" ht="12.75">
      <c r="A38" s="225">
        <f t="shared" si="2"/>
        <v>33</v>
      </c>
      <c r="B38" s="77" t="s">
        <v>7</v>
      </c>
      <c r="C38" s="225">
        <v>1252</v>
      </c>
      <c r="D38" s="299">
        <v>1317</v>
      </c>
      <c r="E38" s="225">
        <v>1118</v>
      </c>
      <c r="F38" s="299">
        <v>1324</v>
      </c>
      <c r="G38" s="74">
        <v>1069</v>
      </c>
      <c r="H38" s="299">
        <v>1110</v>
      </c>
      <c r="I38" s="74">
        <v>1192</v>
      </c>
      <c r="J38" s="299">
        <v>1234</v>
      </c>
      <c r="K38" s="74">
        <v>1195</v>
      </c>
      <c r="L38" s="299">
        <v>1245</v>
      </c>
      <c r="M38" s="294">
        <v>1341</v>
      </c>
      <c r="N38" s="299">
        <v>1431</v>
      </c>
      <c r="O38" s="294">
        <v>1317</v>
      </c>
      <c r="P38" s="299">
        <v>1175</v>
      </c>
      <c r="Q38" s="294">
        <v>1523</v>
      </c>
      <c r="R38" s="299">
        <v>1479</v>
      </c>
      <c r="S38" s="185">
        <v>1403</v>
      </c>
      <c r="T38" s="299">
        <v>1722</v>
      </c>
      <c r="U38" s="185">
        <v>1436</v>
      </c>
      <c r="V38" s="299">
        <v>1285</v>
      </c>
      <c r="W38" s="185">
        <v>1271</v>
      </c>
      <c r="X38" s="299">
        <v>1399</v>
      </c>
      <c r="Y38" s="185">
        <v>1176</v>
      </c>
      <c r="Z38" s="281">
        <v>1380</v>
      </c>
      <c r="AA38" s="33"/>
      <c r="AB38" s="281"/>
      <c r="AC38" s="286">
        <f t="shared" si="0"/>
        <v>15293</v>
      </c>
      <c r="AD38" s="287">
        <f t="shared" si="1"/>
        <v>16101</v>
      </c>
    </row>
    <row r="39" spans="1:30" ht="12.75">
      <c r="A39" s="225">
        <f t="shared" si="2"/>
        <v>34</v>
      </c>
      <c r="B39" s="77" t="s">
        <v>8</v>
      </c>
      <c r="C39" s="225">
        <v>1030</v>
      </c>
      <c r="D39" s="299">
        <v>1009</v>
      </c>
      <c r="E39" s="225">
        <v>883</v>
      </c>
      <c r="F39" s="299">
        <v>1194</v>
      </c>
      <c r="G39" s="74">
        <v>799.7</v>
      </c>
      <c r="H39" s="299">
        <v>750</v>
      </c>
      <c r="I39" s="74">
        <v>939</v>
      </c>
      <c r="J39" s="299">
        <v>729</v>
      </c>
      <c r="K39" s="74">
        <v>854</v>
      </c>
      <c r="L39" s="299">
        <v>848</v>
      </c>
      <c r="M39" s="294">
        <v>964</v>
      </c>
      <c r="N39" s="299">
        <v>892</v>
      </c>
      <c r="O39" s="294">
        <v>919</v>
      </c>
      <c r="P39" s="299">
        <v>798</v>
      </c>
      <c r="Q39" s="294">
        <v>1051</v>
      </c>
      <c r="R39" s="299">
        <v>955</v>
      </c>
      <c r="S39" s="185">
        <v>1076</v>
      </c>
      <c r="T39" s="299">
        <v>1173</v>
      </c>
      <c r="U39" s="185">
        <v>978</v>
      </c>
      <c r="V39" s="299">
        <v>826</v>
      </c>
      <c r="W39" s="185">
        <v>821</v>
      </c>
      <c r="X39" s="299">
        <v>904</v>
      </c>
      <c r="Y39" s="185">
        <v>831</v>
      </c>
      <c r="Z39" s="281">
        <v>938</v>
      </c>
      <c r="AA39" s="33"/>
      <c r="AB39" s="281"/>
      <c r="AC39" s="286">
        <f t="shared" si="0"/>
        <v>11145.7</v>
      </c>
      <c r="AD39" s="287">
        <f t="shared" si="1"/>
        <v>11016</v>
      </c>
    </row>
    <row r="40" spans="1:30" ht="12.75">
      <c r="A40" s="225">
        <f t="shared" si="2"/>
        <v>35</v>
      </c>
      <c r="B40" s="77" t="s">
        <v>9</v>
      </c>
      <c r="C40" s="225">
        <v>992</v>
      </c>
      <c r="D40" s="299">
        <v>960</v>
      </c>
      <c r="E40" s="225">
        <v>802</v>
      </c>
      <c r="F40" s="299">
        <v>1016</v>
      </c>
      <c r="G40" s="225">
        <v>777</v>
      </c>
      <c r="H40" s="298">
        <v>807</v>
      </c>
      <c r="I40" s="225">
        <v>824</v>
      </c>
      <c r="J40" s="298">
        <v>844</v>
      </c>
      <c r="K40" s="74">
        <v>825</v>
      </c>
      <c r="L40" s="299">
        <v>830</v>
      </c>
      <c r="M40" s="294">
        <v>901</v>
      </c>
      <c r="N40" s="299">
        <v>991</v>
      </c>
      <c r="O40" s="294">
        <v>899</v>
      </c>
      <c r="P40" s="299">
        <v>848</v>
      </c>
      <c r="Q40" s="294">
        <v>1017</v>
      </c>
      <c r="R40" s="299">
        <v>1098</v>
      </c>
      <c r="S40" s="185">
        <v>1059</v>
      </c>
      <c r="T40" s="299">
        <v>1262</v>
      </c>
      <c r="U40" s="185">
        <v>996</v>
      </c>
      <c r="V40" s="299">
        <v>927</v>
      </c>
      <c r="W40" s="185">
        <v>923</v>
      </c>
      <c r="X40" s="299">
        <v>1057</v>
      </c>
      <c r="Y40" s="185">
        <v>860</v>
      </c>
      <c r="Z40" s="294">
        <v>1001</v>
      </c>
      <c r="AA40" s="33"/>
      <c r="AB40" s="281"/>
      <c r="AC40" s="286">
        <f t="shared" si="0"/>
        <v>10875</v>
      </c>
      <c r="AD40" s="287">
        <f t="shared" si="1"/>
        <v>11641</v>
      </c>
    </row>
    <row r="41" spans="1:30" ht="12.75">
      <c r="A41" s="225">
        <f t="shared" si="2"/>
        <v>36</v>
      </c>
      <c r="B41" s="77" t="s">
        <v>10</v>
      </c>
      <c r="C41" s="225">
        <v>479</v>
      </c>
      <c r="D41" s="299">
        <v>397</v>
      </c>
      <c r="E41" s="225">
        <v>470</v>
      </c>
      <c r="F41" s="299">
        <v>631</v>
      </c>
      <c r="G41" s="225">
        <v>419</v>
      </c>
      <c r="H41" s="299">
        <v>446</v>
      </c>
      <c r="I41" s="225">
        <v>409</v>
      </c>
      <c r="J41" s="299">
        <v>315</v>
      </c>
      <c r="K41" s="225">
        <v>379</v>
      </c>
      <c r="L41" s="298">
        <v>315</v>
      </c>
      <c r="M41" s="121">
        <v>402</v>
      </c>
      <c r="N41" s="298">
        <v>374</v>
      </c>
      <c r="O41" s="121">
        <v>410</v>
      </c>
      <c r="P41" s="298">
        <v>336</v>
      </c>
      <c r="Q41" s="294">
        <v>562</v>
      </c>
      <c r="R41" s="299">
        <v>418</v>
      </c>
      <c r="S41" s="247">
        <v>488</v>
      </c>
      <c r="T41" s="298">
        <v>537</v>
      </c>
      <c r="U41" s="247">
        <v>507</v>
      </c>
      <c r="V41" s="298">
        <v>405</v>
      </c>
      <c r="W41" s="247">
        <v>507</v>
      </c>
      <c r="X41" s="298">
        <v>437</v>
      </c>
      <c r="Y41" s="247">
        <v>488</v>
      </c>
      <c r="Z41" s="293">
        <v>343</v>
      </c>
      <c r="AA41" s="33"/>
      <c r="AB41" s="281"/>
      <c r="AC41" s="286">
        <f t="shared" si="0"/>
        <v>5520</v>
      </c>
      <c r="AD41" s="287">
        <f t="shared" si="1"/>
        <v>4954</v>
      </c>
    </row>
    <row r="42" spans="1:30" ht="12.75">
      <c r="A42" s="225">
        <f t="shared" si="2"/>
        <v>37</v>
      </c>
      <c r="B42" s="160" t="s">
        <v>91</v>
      </c>
      <c r="C42" s="254"/>
      <c r="D42" s="313"/>
      <c r="E42" s="231"/>
      <c r="F42" s="315"/>
      <c r="G42" s="91"/>
      <c r="H42" s="315"/>
      <c r="I42" s="91"/>
      <c r="J42" s="312"/>
      <c r="K42" s="91"/>
      <c r="L42" s="312"/>
      <c r="M42" s="91"/>
      <c r="N42" s="312"/>
      <c r="O42" s="91"/>
      <c r="P42" s="312"/>
      <c r="Q42" s="91"/>
      <c r="R42" s="273"/>
      <c r="S42" s="91"/>
      <c r="T42" s="316"/>
      <c r="U42" s="90"/>
      <c r="V42" s="299">
        <v>332</v>
      </c>
      <c r="W42" s="90"/>
      <c r="X42" s="299">
        <v>530</v>
      </c>
      <c r="Y42" s="33"/>
      <c r="Z42" s="294">
        <v>534</v>
      </c>
      <c r="AA42" s="33"/>
      <c r="AB42" s="281"/>
      <c r="AC42" s="286">
        <f t="shared" si="0"/>
        <v>0</v>
      </c>
      <c r="AD42" s="287">
        <f t="shared" si="1"/>
        <v>1396</v>
      </c>
    </row>
    <row r="43" spans="1:30" ht="12.75">
      <c r="A43" s="225">
        <f t="shared" si="2"/>
        <v>38</v>
      </c>
      <c r="B43" s="160" t="s">
        <v>92</v>
      </c>
      <c r="C43" s="314"/>
      <c r="D43" s="313"/>
      <c r="E43" s="231"/>
      <c r="F43" s="315"/>
      <c r="G43" s="91"/>
      <c r="H43" s="315"/>
      <c r="I43" s="91"/>
      <c r="J43" s="312"/>
      <c r="K43" s="91"/>
      <c r="L43" s="312"/>
      <c r="M43" s="91"/>
      <c r="N43" s="312"/>
      <c r="O43" s="91"/>
      <c r="P43" s="312"/>
      <c r="Q43" s="91"/>
      <c r="R43" s="273"/>
      <c r="S43" s="91"/>
      <c r="T43" s="316"/>
      <c r="U43" s="90"/>
      <c r="V43" s="316">
        <v>0</v>
      </c>
      <c r="W43" s="90"/>
      <c r="X43" s="299">
        <v>433</v>
      </c>
      <c r="Y43" s="33"/>
      <c r="Z43" s="294">
        <v>443</v>
      </c>
      <c r="AA43" s="33"/>
      <c r="AB43" s="281"/>
      <c r="AC43" s="286">
        <f t="shared" si="0"/>
        <v>0</v>
      </c>
      <c r="AD43" s="287">
        <f t="shared" si="1"/>
        <v>876</v>
      </c>
    </row>
    <row r="44" spans="1:30" ht="12.75">
      <c r="A44" s="225">
        <f t="shared" si="2"/>
        <v>39</v>
      </c>
      <c r="B44" s="160" t="s">
        <v>96</v>
      </c>
      <c r="C44" s="255"/>
      <c r="D44" s="313"/>
      <c r="E44" s="231"/>
      <c r="F44" s="315"/>
      <c r="G44" s="91"/>
      <c r="H44" s="315"/>
      <c r="I44" s="91"/>
      <c r="J44" s="312"/>
      <c r="K44" s="91"/>
      <c r="L44" s="312"/>
      <c r="M44" s="91"/>
      <c r="N44" s="312"/>
      <c r="O44" s="91"/>
      <c r="P44" s="312"/>
      <c r="Q44" s="91"/>
      <c r="R44" s="306"/>
      <c r="S44" s="91"/>
      <c r="T44" s="316"/>
      <c r="U44" s="90"/>
      <c r="V44" s="316"/>
      <c r="W44" s="90"/>
      <c r="X44" s="299"/>
      <c r="Y44" s="33"/>
      <c r="Z44" s="294">
        <v>475</v>
      </c>
      <c r="AA44" s="33"/>
      <c r="AB44" s="281"/>
      <c r="AC44" s="286"/>
      <c r="AD44" s="287"/>
    </row>
    <row r="45" spans="1:30" ht="12.75">
      <c r="A45" s="225">
        <f t="shared" si="2"/>
        <v>40</v>
      </c>
      <c r="B45" s="77" t="s">
        <v>11</v>
      </c>
      <c r="C45" s="225">
        <v>792</v>
      </c>
      <c r="D45" s="299">
        <v>904</v>
      </c>
      <c r="E45" s="225">
        <v>810</v>
      </c>
      <c r="F45" s="299">
        <v>875</v>
      </c>
      <c r="G45" s="74">
        <v>793</v>
      </c>
      <c r="H45" s="298">
        <v>796</v>
      </c>
      <c r="I45" s="290">
        <v>816</v>
      </c>
      <c r="J45" s="298">
        <v>755</v>
      </c>
      <c r="K45" s="225">
        <v>819</v>
      </c>
      <c r="L45" s="299">
        <v>860</v>
      </c>
      <c r="M45" s="294">
        <v>732</v>
      </c>
      <c r="N45" s="298">
        <v>750</v>
      </c>
      <c r="O45" s="121">
        <v>749</v>
      </c>
      <c r="P45" s="299">
        <v>864</v>
      </c>
      <c r="Q45" s="294">
        <v>969</v>
      </c>
      <c r="R45" s="299">
        <v>932</v>
      </c>
      <c r="S45" s="185">
        <v>1017</v>
      </c>
      <c r="T45" s="298">
        <v>891</v>
      </c>
      <c r="U45" s="247">
        <v>951</v>
      </c>
      <c r="V45" s="299">
        <v>912</v>
      </c>
      <c r="W45" s="247">
        <v>843</v>
      </c>
      <c r="X45" s="299">
        <v>896</v>
      </c>
      <c r="Y45" s="185">
        <v>890</v>
      </c>
      <c r="Z45" s="278">
        <v>868</v>
      </c>
      <c r="AA45" s="33"/>
      <c r="AB45" s="281"/>
      <c r="AC45" s="286">
        <f t="shared" si="0"/>
        <v>10181</v>
      </c>
      <c r="AD45" s="287">
        <f t="shared" si="1"/>
        <v>10303</v>
      </c>
    </row>
    <row r="46" spans="1:30" s="13" customFormat="1" ht="12.75">
      <c r="A46" s="225">
        <f t="shared" si="2"/>
        <v>41</v>
      </c>
      <c r="B46" s="241" t="s">
        <v>55</v>
      </c>
      <c r="C46" s="225">
        <v>657</v>
      </c>
      <c r="D46" s="299">
        <v>616</v>
      </c>
      <c r="E46" s="225">
        <v>559</v>
      </c>
      <c r="F46" s="299">
        <v>659</v>
      </c>
      <c r="G46" s="74">
        <v>521</v>
      </c>
      <c r="H46" s="299">
        <v>695</v>
      </c>
      <c r="I46" s="74">
        <v>588</v>
      </c>
      <c r="J46" s="299">
        <v>606</v>
      </c>
      <c r="K46" s="74">
        <v>618</v>
      </c>
      <c r="L46" s="298">
        <v>711</v>
      </c>
      <c r="M46" s="294">
        <v>614</v>
      </c>
      <c r="N46" s="299">
        <v>657</v>
      </c>
      <c r="O46" s="294">
        <v>558</v>
      </c>
      <c r="P46" s="298">
        <v>730</v>
      </c>
      <c r="Q46" s="294">
        <v>707</v>
      </c>
      <c r="R46" s="299">
        <v>703</v>
      </c>
      <c r="S46" s="185">
        <v>769</v>
      </c>
      <c r="T46" s="299">
        <v>703</v>
      </c>
      <c r="U46" s="185">
        <v>789</v>
      </c>
      <c r="V46" s="298">
        <v>616</v>
      </c>
      <c r="W46" s="185">
        <v>697</v>
      </c>
      <c r="X46" s="298">
        <v>617</v>
      </c>
      <c r="Y46" s="185">
        <v>804</v>
      </c>
      <c r="Z46" s="281">
        <v>585</v>
      </c>
      <c r="AA46" s="33"/>
      <c r="AB46" s="281"/>
      <c r="AC46" s="286">
        <f t="shared" si="0"/>
        <v>7881</v>
      </c>
      <c r="AD46" s="287">
        <f t="shared" si="1"/>
        <v>7898</v>
      </c>
    </row>
    <row r="47" spans="1:30" ht="12.75">
      <c r="A47" s="225">
        <f t="shared" si="2"/>
        <v>42</v>
      </c>
      <c r="B47" s="77" t="s">
        <v>12</v>
      </c>
      <c r="C47" s="74">
        <v>814</v>
      </c>
      <c r="D47" s="298">
        <v>728</v>
      </c>
      <c r="E47" s="225">
        <v>992</v>
      </c>
      <c r="F47" s="299">
        <v>728</v>
      </c>
      <c r="G47" s="74">
        <v>736</v>
      </c>
      <c r="H47" s="299">
        <v>727</v>
      </c>
      <c r="I47" s="74">
        <v>740</v>
      </c>
      <c r="J47" s="299">
        <v>563</v>
      </c>
      <c r="K47" s="74">
        <v>790</v>
      </c>
      <c r="L47" s="299">
        <v>655</v>
      </c>
      <c r="M47" s="294">
        <v>755</v>
      </c>
      <c r="N47" s="299">
        <v>585</v>
      </c>
      <c r="O47" s="294">
        <v>802</v>
      </c>
      <c r="P47" s="299">
        <v>731</v>
      </c>
      <c r="Q47" s="294">
        <v>857</v>
      </c>
      <c r="R47" s="299">
        <v>712</v>
      </c>
      <c r="S47" s="185">
        <v>812</v>
      </c>
      <c r="T47" s="299">
        <v>835</v>
      </c>
      <c r="U47" s="185">
        <v>789</v>
      </c>
      <c r="V47" s="299">
        <v>627</v>
      </c>
      <c r="W47" s="185">
        <v>673</v>
      </c>
      <c r="X47" s="299">
        <v>689</v>
      </c>
      <c r="Y47" s="185">
        <v>722</v>
      </c>
      <c r="Z47" s="281">
        <v>698</v>
      </c>
      <c r="AA47" s="33"/>
      <c r="AB47" s="281"/>
      <c r="AC47" s="286">
        <f t="shared" si="0"/>
        <v>9482</v>
      </c>
      <c r="AD47" s="287">
        <f t="shared" si="1"/>
        <v>8278</v>
      </c>
    </row>
    <row r="48" spans="1:30" ht="12.75">
      <c r="A48" s="225">
        <f t="shared" si="2"/>
        <v>43</v>
      </c>
      <c r="B48" s="77" t="s">
        <v>80</v>
      </c>
      <c r="C48" s="251"/>
      <c r="D48" s="299">
        <v>869</v>
      </c>
      <c r="E48" s="225"/>
      <c r="F48" s="299">
        <v>907</v>
      </c>
      <c r="G48" s="91"/>
      <c r="H48" s="299">
        <v>992</v>
      </c>
      <c r="I48" s="91"/>
      <c r="J48" s="299">
        <v>825</v>
      </c>
      <c r="K48" s="91"/>
      <c r="L48" s="299">
        <v>977</v>
      </c>
      <c r="M48" s="91"/>
      <c r="N48" s="299">
        <v>833</v>
      </c>
      <c r="O48" s="91"/>
      <c r="P48" s="299">
        <v>985</v>
      </c>
      <c r="Q48" s="121"/>
      <c r="R48" s="299">
        <v>923</v>
      </c>
      <c r="S48" s="247"/>
      <c r="T48" s="299">
        <v>1085</v>
      </c>
      <c r="U48" s="247"/>
      <c r="V48" s="299">
        <v>745</v>
      </c>
      <c r="W48" s="247"/>
      <c r="X48" s="299">
        <v>742</v>
      </c>
      <c r="Y48" s="185">
        <v>647</v>
      </c>
      <c r="Z48" s="281">
        <v>726</v>
      </c>
      <c r="AA48" s="33"/>
      <c r="AB48" s="281"/>
      <c r="AC48" s="286">
        <f t="shared" si="0"/>
        <v>647</v>
      </c>
      <c r="AD48" s="287">
        <f t="shared" si="1"/>
        <v>10609</v>
      </c>
    </row>
    <row r="49" spans="1:30" ht="12.75">
      <c r="A49" s="225">
        <f t="shared" si="2"/>
        <v>44</v>
      </c>
      <c r="B49" s="77" t="s">
        <v>13</v>
      </c>
      <c r="C49" s="74">
        <v>2367</v>
      </c>
      <c r="D49" s="299">
        <v>1758</v>
      </c>
      <c r="E49" s="225">
        <v>1836</v>
      </c>
      <c r="F49" s="299">
        <v>1649</v>
      </c>
      <c r="G49" s="74">
        <v>1672</v>
      </c>
      <c r="H49" s="299">
        <v>1702</v>
      </c>
      <c r="I49" s="74">
        <v>1783</v>
      </c>
      <c r="J49" s="299">
        <v>1751</v>
      </c>
      <c r="K49" s="74">
        <v>1896</v>
      </c>
      <c r="L49" s="299">
        <v>1881</v>
      </c>
      <c r="M49" s="294">
        <v>1697</v>
      </c>
      <c r="N49" s="299">
        <v>1675</v>
      </c>
      <c r="O49" s="294">
        <v>2010</v>
      </c>
      <c r="P49" s="299">
        <v>2132</v>
      </c>
      <c r="Q49" s="294">
        <v>2271</v>
      </c>
      <c r="R49" s="299">
        <v>2073</v>
      </c>
      <c r="S49" s="185">
        <v>2118</v>
      </c>
      <c r="T49" s="299">
        <v>2359</v>
      </c>
      <c r="U49" s="185">
        <v>2023</v>
      </c>
      <c r="V49" s="299">
        <v>1721</v>
      </c>
      <c r="W49" s="185">
        <v>1679</v>
      </c>
      <c r="X49" s="299">
        <v>1983</v>
      </c>
      <c r="Y49" s="185">
        <v>1672</v>
      </c>
      <c r="Z49" s="281">
        <v>1738</v>
      </c>
      <c r="AA49" s="33"/>
      <c r="AB49" s="281"/>
      <c r="AC49" s="286">
        <f t="shared" si="0"/>
        <v>23024</v>
      </c>
      <c r="AD49" s="287">
        <f t="shared" si="1"/>
        <v>22422</v>
      </c>
    </row>
    <row r="50" spans="1:30" ht="12.75">
      <c r="A50" s="225">
        <f t="shared" si="2"/>
        <v>45</v>
      </c>
      <c r="B50" s="77" t="s">
        <v>14</v>
      </c>
      <c r="C50" s="74">
        <v>773</v>
      </c>
      <c r="D50" s="299">
        <v>653</v>
      </c>
      <c r="E50" s="225">
        <v>687</v>
      </c>
      <c r="F50" s="299">
        <v>621</v>
      </c>
      <c r="G50" s="74">
        <v>637</v>
      </c>
      <c r="H50" s="299">
        <v>661</v>
      </c>
      <c r="I50" s="74">
        <v>627</v>
      </c>
      <c r="J50" s="299">
        <v>550</v>
      </c>
      <c r="K50" s="74">
        <v>629</v>
      </c>
      <c r="L50" s="299">
        <v>644</v>
      </c>
      <c r="M50" s="294">
        <v>556</v>
      </c>
      <c r="N50" s="299">
        <v>595</v>
      </c>
      <c r="O50" s="294">
        <v>653</v>
      </c>
      <c r="P50" s="299">
        <v>724</v>
      </c>
      <c r="Q50" s="294">
        <v>675</v>
      </c>
      <c r="R50" s="299">
        <v>681</v>
      </c>
      <c r="S50" s="185">
        <v>809</v>
      </c>
      <c r="T50" s="299">
        <v>779</v>
      </c>
      <c r="U50" s="185">
        <v>767</v>
      </c>
      <c r="V50" s="299">
        <v>718</v>
      </c>
      <c r="W50" s="185">
        <v>773</v>
      </c>
      <c r="X50" s="299">
        <v>547</v>
      </c>
      <c r="Y50" s="185">
        <v>704</v>
      </c>
      <c r="Z50" s="281">
        <v>788</v>
      </c>
      <c r="AA50" s="33"/>
      <c r="AB50" s="281"/>
      <c r="AC50" s="286">
        <f t="shared" si="0"/>
        <v>8290</v>
      </c>
      <c r="AD50" s="287">
        <f t="shared" si="1"/>
        <v>7961</v>
      </c>
    </row>
    <row r="51" spans="1:30" ht="12.75">
      <c r="A51" s="225">
        <f t="shared" si="2"/>
        <v>46</v>
      </c>
      <c r="B51" s="77" t="s">
        <v>15</v>
      </c>
      <c r="C51" s="74">
        <v>2566</v>
      </c>
      <c r="D51" s="299">
        <v>1941</v>
      </c>
      <c r="E51" s="74">
        <v>2239</v>
      </c>
      <c r="F51" s="298">
        <v>2540</v>
      </c>
      <c r="G51" s="74">
        <v>2026</v>
      </c>
      <c r="H51" s="299">
        <v>1756</v>
      </c>
      <c r="I51" s="74">
        <v>2102</v>
      </c>
      <c r="J51" s="299">
        <v>1962</v>
      </c>
      <c r="K51" s="74">
        <v>2161</v>
      </c>
      <c r="L51" s="299">
        <v>1795</v>
      </c>
      <c r="M51" s="294">
        <v>2137</v>
      </c>
      <c r="N51" s="299">
        <v>2032</v>
      </c>
      <c r="O51" s="294">
        <v>2070</v>
      </c>
      <c r="P51" s="299">
        <v>1989</v>
      </c>
      <c r="Q51" s="294">
        <v>2348</v>
      </c>
      <c r="R51" s="299">
        <v>2015</v>
      </c>
      <c r="S51" s="185">
        <v>2336</v>
      </c>
      <c r="T51" s="299">
        <v>2647</v>
      </c>
      <c r="U51" s="185">
        <v>2058</v>
      </c>
      <c r="V51" s="299">
        <v>1850</v>
      </c>
      <c r="W51" s="185">
        <v>1994</v>
      </c>
      <c r="X51" s="299">
        <v>1915</v>
      </c>
      <c r="Y51" s="185">
        <v>2123</v>
      </c>
      <c r="Z51" s="281">
        <v>1936</v>
      </c>
      <c r="AA51" s="33"/>
      <c r="AB51" s="281"/>
      <c r="AC51" s="286">
        <f t="shared" si="0"/>
        <v>26160</v>
      </c>
      <c r="AD51" s="287">
        <f t="shared" si="1"/>
        <v>24378</v>
      </c>
    </row>
    <row r="52" spans="1:30" ht="12.75" customHeight="1">
      <c r="A52" s="225">
        <f t="shared" si="2"/>
        <v>47</v>
      </c>
      <c r="B52" s="77" t="s">
        <v>16</v>
      </c>
      <c r="C52" s="74">
        <v>1447</v>
      </c>
      <c r="D52" s="299">
        <v>1220</v>
      </c>
      <c r="E52" s="74">
        <v>1222</v>
      </c>
      <c r="F52" s="299">
        <v>1346</v>
      </c>
      <c r="G52" s="74">
        <v>1153</v>
      </c>
      <c r="H52" s="299">
        <v>1146</v>
      </c>
      <c r="I52" s="74">
        <v>1558</v>
      </c>
      <c r="J52" s="299">
        <v>1162</v>
      </c>
      <c r="K52" s="74">
        <v>829</v>
      </c>
      <c r="L52" s="299">
        <v>1017</v>
      </c>
      <c r="M52" s="294">
        <v>870</v>
      </c>
      <c r="N52" s="299">
        <v>1153</v>
      </c>
      <c r="O52" s="294">
        <v>831</v>
      </c>
      <c r="P52" s="299">
        <v>1274</v>
      </c>
      <c r="Q52" s="294">
        <v>904</v>
      </c>
      <c r="R52" s="299">
        <v>1297</v>
      </c>
      <c r="S52" s="185">
        <v>873</v>
      </c>
      <c r="T52" s="299">
        <v>1683</v>
      </c>
      <c r="U52" s="185">
        <v>881</v>
      </c>
      <c r="V52" s="299">
        <v>1265</v>
      </c>
      <c r="W52" s="185">
        <v>859</v>
      </c>
      <c r="X52" s="299">
        <v>1350</v>
      </c>
      <c r="Y52" s="185">
        <v>823</v>
      </c>
      <c r="Z52" s="281">
        <v>1327</v>
      </c>
      <c r="AA52" s="33"/>
      <c r="AB52" s="281"/>
      <c r="AC52" s="286">
        <f t="shared" si="0"/>
        <v>12250</v>
      </c>
      <c r="AD52" s="287">
        <f t="shared" si="1"/>
        <v>15240</v>
      </c>
    </row>
    <row r="53" spans="1:30" ht="72.75" customHeight="1" hidden="1" thickBot="1">
      <c r="A53" s="1"/>
      <c r="B53" s="1"/>
      <c r="C53" s="322" t="s">
        <v>70</v>
      </c>
      <c r="D53" s="323"/>
      <c r="E53" s="322" t="s">
        <v>27</v>
      </c>
      <c r="F53" s="323"/>
      <c r="G53" s="322" t="s">
        <v>28</v>
      </c>
      <c r="H53" s="323"/>
      <c r="I53" s="322" t="s">
        <v>29</v>
      </c>
      <c r="J53" s="323"/>
      <c r="K53" s="322" t="s">
        <v>30</v>
      </c>
      <c r="L53" s="323"/>
      <c r="M53" s="322" t="s">
        <v>31</v>
      </c>
      <c r="N53" s="323"/>
      <c r="O53" s="322" t="s">
        <v>32</v>
      </c>
      <c r="P53" s="323"/>
      <c r="Q53" s="322" t="s">
        <v>33</v>
      </c>
      <c r="R53" s="323"/>
      <c r="S53" s="322" t="s">
        <v>34</v>
      </c>
      <c r="T53" s="323"/>
      <c r="U53" s="322" t="s">
        <v>35</v>
      </c>
      <c r="V53" s="323"/>
      <c r="W53" s="322" t="s">
        <v>36</v>
      </c>
      <c r="X53" s="323"/>
      <c r="Y53" s="322" t="s">
        <v>37</v>
      </c>
      <c r="Z53" s="323"/>
      <c r="AA53" s="322" t="s">
        <v>94</v>
      </c>
      <c r="AB53" s="323"/>
      <c r="AC53" s="322" t="s">
        <v>93</v>
      </c>
      <c r="AD53" s="323"/>
    </row>
    <row r="54" spans="1:30" ht="39" hidden="1" thickBot="1">
      <c r="A54" s="226" t="s">
        <v>39</v>
      </c>
      <c r="B54" s="227" t="s">
        <v>41</v>
      </c>
      <c r="C54" s="229">
        <v>2011</v>
      </c>
      <c r="D54" s="264">
        <v>2012</v>
      </c>
      <c r="E54" s="229">
        <v>2011</v>
      </c>
      <c r="F54" s="264">
        <v>2012</v>
      </c>
      <c r="G54" s="229">
        <v>2011</v>
      </c>
      <c r="H54" s="264">
        <v>2012</v>
      </c>
      <c r="I54" s="229">
        <v>2011</v>
      </c>
      <c r="J54" s="264">
        <v>2012</v>
      </c>
      <c r="K54" s="229">
        <v>2011</v>
      </c>
      <c r="L54" s="264">
        <v>2012</v>
      </c>
      <c r="M54" s="229">
        <v>2011</v>
      </c>
      <c r="N54" s="264">
        <v>2012</v>
      </c>
      <c r="O54" s="229">
        <v>2011</v>
      </c>
      <c r="P54" s="264">
        <v>2012</v>
      </c>
      <c r="Q54" s="229">
        <v>2011</v>
      </c>
      <c r="R54" s="272">
        <v>2012</v>
      </c>
      <c r="S54" s="229">
        <v>2011</v>
      </c>
      <c r="T54" s="264">
        <v>2012</v>
      </c>
      <c r="U54" s="229">
        <v>2011</v>
      </c>
      <c r="V54" s="264">
        <v>2012</v>
      </c>
      <c r="W54" s="229">
        <v>2011</v>
      </c>
      <c r="X54" s="264">
        <v>2012</v>
      </c>
      <c r="Y54" s="229">
        <v>2011</v>
      </c>
      <c r="Z54" s="264">
        <v>2012</v>
      </c>
      <c r="AA54" s="229">
        <v>2011</v>
      </c>
      <c r="AB54" s="264">
        <v>2012</v>
      </c>
      <c r="AC54" s="236">
        <v>2011</v>
      </c>
      <c r="AD54" s="237">
        <v>2012</v>
      </c>
    </row>
    <row r="55" spans="1:30" ht="12.75">
      <c r="A55" s="225">
        <f>A52+1</f>
        <v>48</v>
      </c>
      <c r="B55" s="77" t="s">
        <v>17</v>
      </c>
      <c r="C55" s="74">
        <v>929</v>
      </c>
      <c r="D55" s="299">
        <v>751</v>
      </c>
      <c r="E55" s="74">
        <v>828</v>
      </c>
      <c r="F55" s="267">
        <v>978</v>
      </c>
      <c r="G55" s="74">
        <v>777</v>
      </c>
      <c r="H55" s="299">
        <v>1067</v>
      </c>
      <c r="I55" s="74">
        <v>865</v>
      </c>
      <c r="J55" s="299">
        <v>913</v>
      </c>
      <c r="K55" s="74">
        <v>1013</v>
      </c>
      <c r="L55" s="299">
        <v>570</v>
      </c>
      <c r="M55" s="294">
        <v>1253</v>
      </c>
      <c r="N55" s="299">
        <v>663</v>
      </c>
      <c r="O55" s="294">
        <v>1248</v>
      </c>
      <c r="P55" s="299">
        <v>752</v>
      </c>
      <c r="Q55" s="294">
        <v>1401</v>
      </c>
      <c r="R55" s="299">
        <v>719</v>
      </c>
      <c r="S55" s="185">
        <v>1307</v>
      </c>
      <c r="T55" s="299">
        <v>939</v>
      </c>
      <c r="U55" s="185">
        <v>1283</v>
      </c>
      <c r="V55" s="299">
        <v>723</v>
      </c>
      <c r="W55" s="185">
        <v>1189</v>
      </c>
      <c r="X55" s="299">
        <v>758</v>
      </c>
      <c r="Y55" s="185">
        <v>1225</v>
      </c>
      <c r="Z55" s="281">
        <v>718</v>
      </c>
      <c r="AA55" s="33"/>
      <c r="AB55" s="281"/>
      <c r="AC55" s="286">
        <f t="shared" si="0"/>
        <v>13318</v>
      </c>
      <c r="AD55" s="287">
        <f t="shared" si="1"/>
        <v>9551</v>
      </c>
    </row>
    <row r="56" spans="1:30" ht="12.75">
      <c r="A56" s="225">
        <f t="shared" si="2"/>
        <v>49</v>
      </c>
      <c r="B56" s="77" t="s">
        <v>18</v>
      </c>
      <c r="C56" s="74">
        <v>1082</v>
      </c>
      <c r="D56" s="299">
        <v>727</v>
      </c>
      <c r="E56" s="74">
        <v>919</v>
      </c>
      <c r="F56" s="299">
        <v>350</v>
      </c>
      <c r="G56" s="74">
        <v>718</v>
      </c>
      <c r="H56" s="299">
        <v>763</v>
      </c>
      <c r="I56" s="74">
        <v>772</v>
      </c>
      <c r="J56" s="299">
        <v>938</v>
      </c>
      <c r="K56" s="74">
        <v>775</v>
      </c>
      <c r="L56" s="299">
        <v>777</v>
      </c>
      <c r="M56" s="294">
        <v>815</v>
      </c>
      <c r="N56" s="299">
        <v>858</v>
      </c>
      <c r="O56" s="294">
        <v>821</v>
      </c>
      <c r="P56" s="299">
        <v>924</v>
      </c>
      <c r="Q56" s="294">
        <v>927</v>
      </c>
      <c r="R56" s="299">
        <v>901</v>
      </c>
      <c r="S56" s="185">
        <v>755</v>
      </c>
      <c r="T56" s="299">
        <v>1254</v>
      </c>
      <c r="U56" s="185">
        <v>1208</v>
      </c>
      <c r="V56" s="299">
        <v>931</v>
      </c>
      <c r="W56" s="185">
        <v>856</v>
      </c>
      <c r="X56" s="299">
        <v>909</v>
      </c>
      <c r="Y56" s="185">
        <v>809</v>
      </c>
      <c r="Z56" s="281">
        <v>863</v>
      </c>
      <c r="AA56" s="33"/>
      <c r="AB56" s="281"/>
      <c r="AC56" s="286">
        <f t="shared" si="0"/>
        <v>10457</v>
      </c>
      <c r="AD56" s="287">
        <f t="shared" si="1"/>
        <v>10195</v>
      </c>
    </row>
    <row r="57" spans="1:30" ht="12.75">
      <c r="A57" s="225">
        <f t="shared" si="2"/>
        <v>50</v>
      </c>
      <c r="B57" s="77" t="s">
        <v>19</v>
      </c>
      <c r="C57" s="74">
        <v>1850</v>
      </c>
      <c r="D57" s="299">
        <v>1845</v>
      </c>
      <c r="E57" s="74">
        <v>1628</v>
      </c>
      <c r="F57" s="299">
        <v>2216</v>
      </c>
      <c r="G57" s="74">
        <v>1547</v>
      </c>
      <c r="H57" s="299">
        <v>1561</v>
      </c>
      <c r="I57" s="74">
        <v>1741</v>
      </c>
      <c r="J57" s="299">
        <v>1540</v>
      </c>
      <c r="K57" s="74">
        <v>1709</v>
      </c>
      <c r="L57" s="299">
        <v>1543</v>
      </c>
      <c r="M57" s="294">
        <v>1682</v>
      </c>
      <c r="N57" s="299">
        <v>1648</v>
      </c>
      <c r="O57" s="294">
        <v>1682</v>
      </c>
      <c r="P57" s="299">
        <v>1670</v>
      </c>
      <c r="Q57" s="294">
        <v>1886</v>
      </c>
      <c r="R57" s="299">
        <v>1345</v>
      </c>
      <c r="S57" s="185">
        <v>1865</v>
      </c>
      <c r="T57" s="299">
        <v>2240</v>
      </c>
      <c r="U57" s="185">
        <v>1928</v>
      </c>
      <c r="V57" s="299">
        <v>1784</v>
      </c>
      <c r="W57" s="185">
        <v>1725</v>
      </c>
      <c r="X57" s="299">
        <v>1854</v>
      </c>
      <c r="Y57" s="185">
        <v>1830</v>
      </c>
      <c r="Z57" s="281">
        <v>1911</v>
      </c>
      <c r="AA57" s="33"/>
      <c r="AB57" s="281"/>
      <c r="AC57" s="286">
        <f t="shared" si="0"/>
        <v>21073</v>
      </c>
      <c r="AD57" s="287">
        <f t="shared" si="1"/>
        <v>21157</v>
      </c>
    </row>
    <row r="58" spans="1:30" ht="12.75">
      <c r="A58" s="225">
        <f t="shared" si="2"/>
        <v>51</v>
      </c>
      <c r="B58" s="77" t="s">
        <v>65</v>
      </c>
      <c r="C58" s="228"/>
      <c r="D58" s="299">
        <v>1565</v>
      </c>
      <c r="E58" s="74">
        <v>780</v>
      </c>
      <c r="F58" s="299">
        <v>1064</v>
      </c>
      <c r="G58" s="74">
        <v>84.24</v>
      </c>
      <c r="H58" s="299">
        <v>877</v>
      </c>
      <c r="I58" s="74">
        <v>791</v>
      </c>
      <c r="J58" s="299">
        <v>1013</v>
      </c>
      <c r="K58" s="74">
        <v>1026</v>
      </c>
      <c r="L58" s="299">
        <v>301</v>
      </c>
      <c r="M58" s="294">
        <v>982</v>
      </c>
      <c r="N58" s="299">
        <v>1123</v>
      </c>
      <c r="O58" s="294">
        <v>916</v>
      </c>
      <c r="P58" s="299">
        <v>1158</v>
      </c>
      <c r="Q58" s="294">
        <v>1090</v>
      </c>
      <c r="R58" s="299">
        <v>1218</v>
      </c>
      <c r="S58" s="185">
        <v>1007</v>
      </c>
      <c r="T58" s="299">
        <v>1392</v>
      </c>
      <c r="U58" s="185">
        <v>1045</v>
      </c>
      <c r="V58" s="299">
        <v>1049</v>
      </c>
      <c r="W58" s="185">
        <v>983</v>
      </c>
      <c r="X58" s="299">
        <v>1063</v>
      </c>
      <c r="Y58" s="185">
        <v>951</v>
      </c>
      <c r="Z58" s="281">
        <v>1275</v>
      </c>
      <c r="AA58" s="33"/>
      <c r="AB58" s="281"/>
      <c r="AC58" s="286">
        <f t="shared" si="0"/>
        <v>9655.24</v>
      </c>
      <c r="AD58" s="287">
        <f t="shared" si="1"/>
        <v>13098</v>
      </c>
    </row>
    <row r="59" spans="1:30" ht="12.75">
      <c r="A59" s="225">
        <f t="shared" si="2"/>
        <v>52</v>
      </c>
      <c r="B59" s="77" t="s">
        <v>81</v>
      </c>
      <c r="C59" s="228"/>
      <c r="D59" s="299">
        <v>980</v>
      </c>
      <c r="E59" s="231"/>
      <c r="F59" s="299">
        <v>861</v>
      </c>
      <c r="G59" s="91"/>
      <c r="H59" s="299">
        <v>649</v>
      </c>
      <c r="I59" s="91"/>
      <c r="J59" s="299">
        <v>774</v>
      </c>
      <c r="K59" s="91"/>
      <c r="L59" s="299">
        <v>748</v>
      </c>
      <c r="M59" s="91"/>
      <c r="N59" s="299">
        <v>679</v>
      </c>
      <c r="O59" s="91"/>
      <c r="P59" s="299">
        <v>290</v>
      </c>
      <c r="Q59" s="91"/>
      <c r="R59" s="299">
        <v>1265</v>
      </c>
      <c r="S59" s="91"/>
      <c r="T59" s="299">
        <v>1145</v>
      </c>
      <c r="U59" s="90"/>
      <c r="V59" s="299">
        <v>765</v>
      </c>
      <c r="W59" s="185">
        <v>187</v>
      </c>
      <c r="X59" s="299">
        <v>818</v>
      </c>
      <c r="Y59" s="185">
        <v>548</v>
      </c>
      <c r="Z59" s="281">
        <v>912</v>
      </c>
      <c r="AA59" s="33"/>
      <c r="AB59" s="281"/>
      <c r="AC59" s="286">
        <f t="shared" si="0"/>
        <v>735</v>
      </c>
      <c r="AD59" s="287">
        <f t="shared" si="1"/>
        <v>9886</v>
      </c>
    </row>
    <row r="60" spans="1:30" ht="12.75">
      <c r="A60" s="225">
        <f t="shared" si="2"/>
        <v>53</v>
      </c>
      <c r="B60" s="77" t="s">
        <v>82</v>
      </c>
      <c r="C60" s="228"/>
      <c r="D60" s="299">
        <v>582</v>
      </c>
      <c r="E60" s="231"/>
      <c r="F60" s="299">
        <v>718</v>
      </c>
      <c r="G60" s="91"/>
      <c r="H60" s="299">
        <v>662</v>
      </c>
      <c r="I60" s="91"/>
      <c r="J60" s="299">
        <v>830</v>
      </c>
      <c r="K60" s="91"/>
      <c r="L60" s="299">
        <v>788</v>
      </c>
      <c r="M60" s="91"/>
      <c r="N60" s="299">
        <v>834</v>
      </c>
      <c r="O60" s="91"/>
      <c r="P60" s="299">
        <v>866</v>
      </c>
      <c r="Q60" s="91"/>
      <c r="R60" s="299">
        <v>911</v>
      </c>
      <c r="S60" s="91"/>
      <c r="T60" s="299">
        <v>1287</v>
      </c>
      <c r="U60" s="90"/>
      <c r="V60" s="299">
        <v>811</v>
      </c>
      <c r="W60" s="90"/>
      <c r="X60" s="299">
        <v>835</v>
      </c>
      <c r="Y60" s="33"/>
      <c r="Z60" s="281">
        <v>983</v>
      </c>
      <c r="AA60" s="33"/>
      <c r="AB60" s="281"/>
      <c r="AC60" s="286">
        <f t="shared" si="0"/>
        <v>0</v>
      </c>
      <c r="AD60" s="287">
        <f aca="true" t="shared" si="3" ref="AD60:AD70">D60+F60+H60+J60+L60+N60+P60+R60+T60+V60+X60+Z60+AB60</f>
        <v>10107</v>
      </c>
    </row>
    <row r="61" spans="1:30" ht="12.75">
      <c r="A61" s="225">
        <f t="shared" si="2"/>
        <v>54</v>
      </c>
      <c r="B61" s="77" t="s">
        <v>88</v>
      </c>
      <c r="C61" s="247"/>
      <c r="D61" s="259"/>
      <c r="E61" s="231"/>
      <c r="F61" s="266"/>
      <c r="G61" s="91"/>
      <c r="H61" s="266"/>
      <c r="I61" s="91"/>
      <c r="J61" s="257"/>
      <c r="K61" s="91"/>
      <c r="L61" s="258"/>
      <c r="M61" s="91"/>
      <c r="N61" s="258"/>
      <c r="O61" s="91"/>
      <c r="P61" s="258"/>
      <c r="Q61" s="91"/>
      <c r="R61" s="299">
        <v>50</v>
      </c>
      <c r="S61" s="91"/>
      <c r="T61" s="299">
        <v>770</v>
      </c>
      <c r="U61" s="90"/>
      <c r="V61" s="299">
        <v>609</v>
      </c>
      <c r="W61" s="90"/>
      <c r="X61" s="299">
        <v>701</v>
      </c>
      <c r="Y61" s="33"/>
      <c r="Z61" s="281">
        <v>882</v>
      </c>
      <c r="AA61" s="33"/>
      <c r="AB61" s="281"/>
      <c r="AC61" s="286">
        <f t="shared" si="0"/>
        <v>0</v>
      </c>
      <c r="AD61" s="287">
        <f t="shared" si="3"/>
        <v>3012</v>
      </c>
    </row>
    <row r="62" spans="1:30" ht="12.75">
      <c r="A62" s="225">
        <f t="shared" si="2"/>
        <v>55</v>
      </c>
      <c r="B62" s="77" t="s">
        <v>20</v>
      </c>
      <c r="C62" s="74">
        <v>1576</v>
      </c>
      <c r="D62" s="299">
        <v>1504</v>
      </c>
      <c r="E62" s="225">
        <v>868</v>
      </c>
      <c r="F62" s="299">
        <v>1930</v>
      </c>
      <c r="G62" s="74">
        <v>1319.38</v>
      </c>
      <c r="H62" s="299">
        <v>1400</v>
      </c>
      <c r="I62" s="74">
        <v>1397</v>
      </c>
      <c r="J62" s="299">
        <v>1497</v>
      </c>
      <c r="K62" s="74">
        <v>1439</v>
      </c>
      <c r="L62" s="299">
        <v>1343</v>
      </c>
      <c r="M62" s="294">
        <v>1525</v>
      </c>
      <c r="N62" s="299">
        <v>1354</v>
      </c>
      <c r="O62" s="294">
        <v>1423</v>
      </c>
      <c r="P62" s="299">
        <v>1402</v>
      </c>
      <c r="Q62" s="294">
        <v>1533</v>
      </c>
      <c r="R62" s="299">
        <v>1342</v>
      </c>
      <c r="S62" s="185">
        <v>1562</v>
      </c>
      <c r="T62" s="299">
        <v>1886</v>
      </c>
      <c r="U62" s="185">
        <v>1645</v>
      </c>
      <c r="V62" s="299">
        <v>1415</v>
      </c>
      <c r="W62" s="185">
        <v>1514</v>
      </c>
      <c r="X62" s="299">
        <v>1423</v>
      </c>
      <c r="Y62" s="185">
        <v>1606</v>
      </c>
      <c r="Z62" s="281">
        <v>1423</v>
      </c>
      <c r="AA62" s="33"/>
      <c r="AB62" s="281"/>
      <c r="AC62" s="286">
        <f t="shared" si="0"/>
        <v>17407.38</v>
      </c>
      <c r="AD62" s="287">
        <f t="shared" si="3"/>
        <v>17919</v>
      </c>
    </row>
    <row r="63" spans="1:30" ht="12.75">
      <c r="A63" s="225">
        <f t="shared" si="2"/>
        <v>56</v>
      </c>
      <c r="B63" s="77" t="s">
        <v>21</v>
      </c>
      <c r="C63" s="74">
        <v>1723</v>
      </c>
      <c r="D63" s="299">
        <v>1455</v>
      </c>
      <c r="E63" s="225">
        <v>797</v>
      </c>
      <c r="F63" s="299">
        <v>1729</v>
      </c>
      <c r="G63" s="74">
        <v>1339.7</v>
      </c>
      <c r="H63" s="299">
        <v>1340</v>
      </c>
      <c r="I63" s="74">
        <v>1483</v>
      </c>
      <c r="J63" s="299">
        <v>1389</v>
      </c>
      <c r="K63" s="74">
        <v>1477</v>
      </c>
      <c r="L63" s="299">
        <v>1361</v>
      </c>
      <c r="M63" s="294">
        <v>1433</v>
      </c>
      <c r="N63" s="299">
        <v>1212</v>
      </c>
      <c r="O63" s="294">
        <v>1405</v>
      </c>
      <c r="P63" s="299">
        <v>1455</v>
      </c>
      <c r="Q63" s="294">
        <v>1578</v>
      </c>
      <c r="R63" s="299">
        <v>1415</v>
      </c>
      <c r="S63" s="185">
        <v>1527</v>
      </c>
      <c r="T63" s="299">
        <v>1437</v>
      </c>
      <c r="U63" s="185">
        <v>1567</v>
      </c>
      <c r="V63" s="299">
        <v>1985</v>
      </c>
      <c r="W63" s="185">
        <v>1491</v>
      </c>
      <c r="X63" s="299">
        <v>1446</v>
      </c>
      <c r="Y63" s="185">
        <v>1502</v>
      </c>
      <c r="Z63" s="281">
        <v>1398</v>
      </c>
      <c r="AA63" s="33"/>
      <c r="AB63" s="281"/>
      <c r="AC63" s="286">
        <f t="shared" si="0"/>
        <v>17322.7</v>
      </c>
      <c r="AD63" s="287">
        <f t="shared" si="3"/>
        <v>17622</v>
      </c>
    </row>
    <row r="64" spans="1:30" ht="12.75">
      <c r="A64" s="225">
        <f t="shared" si="2"/>
        <v>57</v>
      </c>
      <c r="B64" s="77" t="s">
        <v>22</v>
      </c>
      <c r="C64" s="74">
        <v>1374</v>
      </c>
      <c r="D64" s="300">
        <v>1274</v>
      </c>
      <c r="E64" s="225">
        <v>772</v>
      </c>
      <c r="F64" s="299">
        <v>1572</v>
      </c>
      <c r="G64" s="74">
        <v>1058.42</v>
      </c>
      <c r="H64" s="299">
        <v>1167</v>
      </c>
      <c r="I64" s="74">
        <v>1213</v>
      </c>
      <c r="J64" s="299">
        <v>976</v>
      </c>
      <c r="K64" s="291">
        <v>1219</v>
      </c>
      <c r="L64" s="299">
        <v>1146</v>
      </c>
      <c r="M64" s="295">
        <v>1283</v>
      </c>
      <c r="N64" s="299">
        <v>1073</v>
      </c>
      <c r="O64" s="295">
        <v>1206</v>
      </c>
      <c r="P64" s="299">
        <v>1371</v>
      </c>
      <c r="Q64" s="295">
        <v>1380</v>
      </c>
      <c r="R64" s="299">
        <v>1334</v>
      </c>
      <c r="S64" s="297">
        <v>1332</v>
      </c>
      <c r="T64" s="299">
        <v>1792</v>
      </c>
      <c r="U64" s="297">
        <v>1384</v>
      </c>
      <c r="V64" s="299">
        <v>1304</v>
      </c>
      <c r="W64" s="297">
        <v>1276</v>
      </c>
      <c r="X64" s="299">
        <v>1348</v>
      </c>
      <c r="Y64" s="297">
        <v>1312</v>
      </c>
      <c r="Z64" s="281">
        <v>1281</v>
      </c>
      <c r="AA64" s="33"/>
      <c r="AB64" s="281"/>
      <c r="AC64" s="286">
        <f t="shared" si="0"/>
        <v>14809.42</v>
      </c>
      <c r="AD64" s="287">
        <f t="shared" si="3"/>
        <v>15638</v>
      </c>
    </row>
    <row r="65" spans="1:30" ht="12.75">
      <c r="A65" s="225">
        <f t="shared" si="2"/>
        <v>58</v>
      </c>
      <c r="B65" s="77" t="s">
        <v>23</v>
      </c>
      <c r="C65" s="74">
        <v>1309</v>
      </c>
      <c r="D65" s="299">
        <v>1204</v>
      </c>
      <c r="E65" s="225">
        <v>897</v>
      </c>
      <c r="F65" s="299">
        <v>1533</v>
      </c>
      <c r="G65" s="74">
        <v>1095.79</v>
      </c>
      <c r="H65" s="299">
        <v>1169</v>
      </c>
      <c r="I65" s="74">
        <v>1197</v>
      </c>
      <c r="J65" s="299">
        <v>1208</v>
      </c>
      <c r="K65" s="45">
        <v>1122</v>
      </c>
      <c r="L65" s="299">
        <v>1128</v>
      </c>
      <c r="M65" s="185">
        <v>1150</v>
      </c>
      <c r="N65" s="299">
        <v>1281</v>
      </c>
      <c r="O65" s="185">
        <v>1184</v>
      </c>
      <c r="P65" s="299">
        <v>1367</v>
      </c>
      <c r="Q65" s="185">
        <v>1397</v>
      </c>
      <c r="R65" s="299">
        <v>1406</v>
      </c>
      <c r="S65" s="185">
        <v>1308</v>
      </c>
      <c r="T65" s="299">
        <v>1759</v>
      </c>
      <c r="U65" s="185">
        <v>1289</v>
      </c>
      <c r="V65" s="299">
        <v>1323</v>
      </c>
      <c r="W65" s="185">
        <v>1229</v>
      </c>
      <c r="X65" s="299">
        <v>1312</v>
      </c>
      <c r="Y65" s="185">
        <v>1234</v>
      </c>
      <c r="Z65" s="281">
        <v>1317</v>
      </c>
      <c r="AA65" s="39"/>
      <c r="AB65" s="278"/>
      <c r="AC65" s="286">
        <f t="shared" si="0"/>
        <v>14411.79</v>
      </c>
      <c r="AD65" s="287">
        <f t="shared" si="3"/>
        <v>16007</v>
      </c>
    </row>
    <row r="66" spans="1:30" ht="12.75">
      <c r="A66" s="225">
        <f t="shared" si="2"/>
        <v>59</v>
      </c>
      <c r="B66" s="77" t="s">
        <v>24</v>
      </c>
      <c r="C66" s="74">
        <v>1593</v>
      </c>
      <c r="D66" s="299">
        <v>1490</v>
      </c>
      <c r="E66" s="225">
        <v>978</v>
      </c>
      <c r="F66" s="299">
        <v>1758</v>
      </c>
      <c r="G66" s="74">
        <v>1146.98</v>
      </c>
      <c r="H66" s="299">
        <v>1337</v>
      </c>
      <c r="I66" s="74">
        <v>1291</v>
      </c>
      <c r="J66" s="299">
        <v>1484</v>
      </c>
      <c r="K66" s="74">
        <v>1290</v>
      </c>
      <c r="L66" s="299">
        <v>1298</v>
      </c>
      <c r="M66" s="294">
        <v>1338</v>
      </c>
      <c r="N66" s="299">
        <v>1340</v>
      </c>
      <c r="O66" s="294">
        <v>1305</v>
      </c>
      <c r="P66" s="299">
        <v>1326</v>
      </c>
      <c r="Q66" s="294">
        <v>1508</v>
      </c>
      <c r="R66" s="299">
        <v>1374</v>
      </c>
      <c r="S66" s="185">
        <v>1439</v>
      </c>
      <c r="T66" s="299">
        <v>1874</v>
      </c>
      <c r="U66" s="185">
        <v>1486</v>
      </c>
      <c r="V66" s="299">
        <v>1463</v>
      </c>
      <c r="W66" s="185">
        <v>1454</v>
      </c>
      <c r="X66" s="299">
        <v>1494</v>
      </c>
      <c r="Y66" s="185">
        <v>1537</v>
      </c>
      <c r="Z66" s="281">
        <v>1537</v>
      </c>
      <c r="AA66" s="33"/>
      <c r="AB66" s="281"/>
      <c r="AC66" s="286">
        <f t="shared" si="0"/>
        <v>16365.98</v>
      </c>
      <c r="AD66" s="287">
        <f t="shared" si="3"/>
        <v>17775</v>
      </c>
    </row>
    <row r="67" spans="1:30" ht="12.75">
      <c r="A67" s="225">
        <f t="shared" si="2"/>
        <v>60</v>
      </c>
      <c r="B67" s="77" t="s">
        <v>25</v>
      </c>
      <c r="C67" s="74">
        <v>675</v>
      </c>
      <c r="D67" s="299">
        <v>520</v>
      </c>
      <c r="E67" s="225">
        <v>555</v>
      </c>
      <c r="F67" s="299">
        <v>549</v>
      </c>
      <c r="G67" s="74">
        <v>596</v>
      </c>
      <c r="H67" s="299">
        <v>664</v>
      </c>
      <c r="I67" s="74">
        <v>659</v>
      </c>
      <c r="J67" s="299">
        <v>982</v>
      </c>
      <c r="K67" s="74">
        <v>564</v>
      </c>
      <c r="L67" s="299">
        <v>769</v>
      </c>
      <c r="M67" s="294">
        <v>534</v>
      </c>
      <c r="N67" s="299">
        <v>891</v>
      </c>
      <c r="O67" s="294">
        <v>522</v>
      </c>
      <c r="P67" s="299">
        <v>929</v>
      </c>
      <c r="Q67" s="294">
        <v>580</v>
      </c>
      <c r="R67" s="299">
        <v>932</v>
      </c>
      <c r="S67" s="185">
        <v>631</v>
      </c>
      <c r="T67" s="299">
        <v>1093</v>
      </c>
      <c r="U67" s="185">
        <v>666</v>
      </c>
      <c r="V67" s="299">
        <v>809</v>
      </c>
      <c r="W67" s="185">
        <v>543</v>
      </c>
      <c r="X67" s="299">
        <v>867</v>
      </c>
      <c r="Y67" s="185">
        <v>485</v>
      </c>
      <c r="Z67" s="281">
        <v>799</v>
      </c>
      <c r="AA67" s="33"/>
      <c r="AB67" s="281"/>
      <c r="AC67" s="286">
        <f t="shared" si="0"/>
        <v>7010</v>
      </c>
      <c r="AD67" s="287">
        <f t="shared" si="3"/>
        <v>9804</v>
      </c>
    </row>
    <row r="68" spans="1:30" ht="12.75">
      <c r="A68" s="225">
        <f t="shared" si="2"/>
        <v>61</v>
      </c>
      <c r="B68" s="80" t="s">
        <v>26</v>
      </c>
      <c r="C68" s="74">
        <v>669</v>
      </c>
      <c r="D68" s="299">
        <v>783</v>
      </c>
      <c r="E68" s="225">
        <v>370</v>
      </c>
      <c r="F68" s="299">
        <v>1053</v>
      </c>
      <c r="G68" s="74">
        <v>461</v>
      </c>
      <c r="H68" s="299">
        <v>403</v>
      </c>
      <c r="I68" s="74">
        <v>566</v>
      </c>
      <c r="J68" s="299">
        <v>611</v>
      </c>
      <c r="K68" s="74">
        <v>712</v>
      </c>
      <c r="L68" s="299">
        <v>522</v>
      </c>
      <c r="M68" s="294">
        <v>675</v>
      </c>
      <c r="N68" s="299">
        <v>618</v>
      </c>
      <c r="O68" s="294">
        <v>735</v>
      </c>
      <c r="P68" s="299">
        <v>618</v>
      </c>
      <c r="Q68" s="294">
        <v>838</v>
      </c>
      <c r="R68" s="299">
        <v>625</v>
      </c>
      <c r="S68" s="185">
        <v>927</v>
      </c>
      <c r="T68" s="299">
        <v>716</v>
      </c>
      <c r="U68" s="185">
        <v>958</v>
      </c>
      <c r="V68" s="299">
        <v>512</v>
      </c>
      <c r="W68" s="247">
        <v>847</v>
      </c>
      <c r="X68" s="298">
        <v>537</v>
      </c>
      <c r="Y68" s="185">
        <v>849</v>
      </c>
      <c r="Z68" s="281">
        <v>859</v>
      </c>
      <c r="AA68" s="33"/>
      <c r="AB68" s="281"/>
      <c r="AC68" s="286">
        <f t="shared" si="0"/>
        <v>8607</v>
      </c>
      <c r="AD68" s="287">
        <f t="shared" si="3"/>
        <v>7857</v>
      </c>
    </row>
    <row r="69" spans="1:30" ht="12.75">
      <c r="A69" s="225">
        <f t="shared" si="2"/>
        <v>62</v>
      </c>
      <c r="B69" s="77" t="s">
        <v>84</v>
      </c>
      <c r="C69" s="251"/>
      <c r="D69" s="261"/>
      <c r="E69" s="233"/>
      <c r="F69" s="310">
        <v>0</v>
      </c>
      <c r="G69" s="98"/>
      <c r="H69" s="298">
        <v>2130</v>
      </c>
      <c r="I69" s="98"/>
      <c r="J69" s="298">
        <v>1558</v>
      </c>
      <c r="K69" s="98"/>
      <c r="L69" s="298">
        <f>1518+75</f>
        <v>1593</v>
      </c>
      <c r="M69" s="98"/>
      <c r="N69" s="298">
        <f>1605+1257</f>
        <v>2862</v>
      </c>
      <c r="O69" s="98"/>
      <c r="P69" s="298">
        <f>2141+1384</f>
        <v>3525</v>
      </c>
      <c r="Q69" s="98"/>
      <c r="R69" s="298">
        <f>2422+2536</f>
        <v>4958</v>
      </c>
      <c r="S69" s="98"/>
      <c r="T69" s="298">
        <f>2874+2777</f>
        <v>5651</v>
      </c>
      <c r="U69" s="248"/>
      <c r="V69" s="298">
        <f>1949+2197</f>
        <v>4146</v>
      </c>
      <c r="W69" s="248"/>
      <c r="X69" s="293">
        <v>906</v>
      </c>
      <c r="Y69" s="39"/>
      <c r="Z69" s="278">
        <f>761+2545</f>
        <v>3306</v>
      </c>
      <c r="AA69" s="39"/>
      <c r="AB69" s="278"/>
      <c r="AC69" s="308">
        <f t="shared" si="0"/>
        <v>0</v>
      </c>
      <c r="AD69" s="309">
        <f t="shared" si="3"/>
        <v>30635</v>
      </c>
    </row>
    <row r="70" spans="1:30" ht="12.75">
      <c r="A70" s="225">
        <f t="shared" si="2"/>
        <v>63</v>
      </c>
      <c r="B70" s="77" t="s">
        <v>85</v>
      </c>
      <c r="C70" s="228"/>
      <c r="D70" s="260"/>
      <c r="E70" s="232"/>
      <c r="F70" s="257">
        <v>467</v>
      </c>
      <c r="G70" s="91"/>
      <c r="H70" s="299">
        <v>1712</v>
      </c>
      <c r="I70" s="91"/>
      <c r="J70" s="299">
        <v>1166</v>
      </c>
      <c r="K70" s="91"/>
      <c r="L70" s="299">
        <v>1580</v>
      </c>
      <c r="M70" s="91"/>
      <c r="N70" s="299">
        <v>1498</v>
      </c>
      <c r="O70" s="91"/>
      <c r="P70" s="299">
        <v>1854</v>
      </c>
      <c r="Q70" s="91"/>
      <c r="R70" s="299">
        <v>2306</v>
      </c>
      <c r="S70" s="91"/>
      <c r="T70" s="299">
        <v>2250</v>
      </c>
      <c r="U70" s="90"/>
      <c r="V70" s="299">
        <v>1858</v>
      </c>
      <c r="W70" s="90"/>
      <c r="X70" s="299">
        <v>4825</v>
      </c>
      <c r="Y70" s="33"/>
      <c r="Z70" s="281">
        <v>2673</v>
      </c>
      <c r="AA70" s="33"/>
      <c r="AB70" s="281"/>
      <c r="AC70" s="286">
        <f t="shared" si="0"/>
        <v>0</v>
      </c>
      <c r="AD70" s="287">
        <f t="shared" si="3"/>
        <v>22189</v>
      </c>
    </row>
    <row r="71" spans="1:30" ht="12.75">
      <c r="A71" s="225">
        <f t="shared" si="2"/>
        <v>64</v>
      </c>
      <c r="B71" s="241" t="s">
        <v>89</v>
      </c>
      <c r="C71" s="246"/>
      <c r="D71" s="261"/>
      <c r="E71" s="233"/>
      <c r="F71" s="268"/>
      <c r="G71" s="98"/>
      <c r="H71" s="268"/>
      <c r="I71" s="98"/>
      <c r="J71" s="270"/>
      <c r="K71" s="98"/>
      <c r="L71" s="270"/>
      <c r="M71" s="98"/>
      <c r="N71" s="270"/>
      <c r="O71" s="98"/>
      <c r="P71" s="270"/>
      <c r="Q71" s="98"/>
      <c r="R71" s="299">
        <f>107+263</f>
        <v>370</v>
      </c>
      <c r="S71" s="91"/>
      <c r="T71" s="299">
        <f>801+658</f>
        <v>1459</v>
      </c>
      <c r="U71" s="90"/>
      <c r="V71" s="299">
        <f>861+342</f>
        <v>1203</v>
      </c>
      <c r="W71" s="248"/>
      <c r="X71" s="299">
        <v>1334</v>
      </c>
      <c r="Y71" s="39"/>
      <c r="Z71" s="278">
        <f>1074+382</f>
        <v>1456</v>
      </c>
      <c r="AA71" s="39"/>
      <c r="AB71" s="278"/>
      <c r="AC71" s="286">
        <f t="shared" si="0"/>
        <v>0</v>
      </c>
      <c r="AD71" s="287">
        <f t="shared" si="1"/>
        <v>5822</v>
      </c>
    </row>
    <row r="72" spans="1:30" ht="15" customHeight="1" thickBot="1">
      <c r="A72" s="249">
        <f t="shared" si="2"/>
        <v>65</v>
      </c>
      <c r="B72" s="11" t="s">
        <v>90</v>
      </c>
      <c r="C72" s="256"/>
      <c r="D72" s="262"/>
      <c r="E72" s="234"/>
      <c r="F72" s="269"/>
      <c r="G72" s="157"/>
      <c r="H72" s="269"/>
      <c r="I72" s="157"/>
      <c r="J72" s="271"/>
      <c r="K72" s="157"/>
      <c r="L72" s="271"/>
      <c r="M72" s="157"/>
      <c r="N72" s="271"/>
      <c r="O72" s="157"/>
      <c r="P72" s="271"/>
      <c r="Q72" s="157"/>
      <c r="R72" s="300">
        <v>166</v>
      </c>
      <c r="S72" s="235"/>
      <c r="T72" s="299">
        <v>1012</v>
      </c>
      <c r="U72" s="92"/>
      <c r="V72" s="299">
        <v>956</v>
      </c>
      <c r="W72" s="274"/>
      <c r="X72" s="301">
        <v>1223</v>
      </c>
      <c r="Y72" s="192"/>
      <c r="Z72" s="282">
        <v>1166</v>
      </c>
      <c r="AA72" s="192"/>
      <c r="AB72" s="282"/>
      <c r="AC72" s="288">
        <f t="shared" si="0"/>
        <v>0</v>
      </c>
      <c r="AD72" s="289">
        <f t="shared" si="1"/>
        <v>4523</v>
      </c>
    </row>
    <row r="73" spans="1:30" ht="13.5" thickBot="1">
      <c r="A73" s="283"/>
      <c r="B73" s="304" t="s">
        <v>38</v>
      </c>
      <c r="C73" s="305">
        <f aca="true" t="shared" si="4" ref="C73:AD73">SUM(C6:C72)</f>
        <v>61537.58</v>
      </c>
      <c r="D73" s="305">
        <f t="shared" si="4"/>
        <v>86479.5</v>
      </c>
      <c r="E73" s="305">
        <f t="shared" si="4"/>
        <v>53018.35</v>
      </c>
      <c r="F73" s="305">
        <f t="shared" si="4"/>
        <v>87210</v>
      </c>
      <c r="G73" s="305">
        <f t="shared" si="4"/>
        <v>50046.42</v>
      </c>
      <c r="H73" s="305">
        <f t="shared" si="4"/>
        <v>67183</v>
      </c>
      <c r="I73" s="305">
        <f t="shared" si="4"/>
        <v>55024</v>
      </c>
      <c r="J73" s="305">
        <f t="shared" si="4"/>
        <v>76940</v>
      </c>
      <c r="K73" s="305">
        <f t="shared" si="4"/>
        <v>58152</v>
      </c>
      <c r="L73" s="305">
        <f t="shared" si="4"/>
        <v>74729</v>
      </c>
      <c r="M73" s="305">
        <f t="shared" si="4"/>
        <v>60826</v>
      </c>
      <c r="N73" s="305">
        <f t="shared" si="4"/>
        <v>78258</v>
      </c>
      <c r="O73" s="305">
        <f t="shared" si="4"/>
        <v>62754</v>
      </c>
      <c r="P73" s="305">
        <f t="shared" si="4"/>
        <v>80370</v>
      </c>
      <c r="Q73" s="305">
        <f t="shared" si="4"/>
        <v>70792</v>
      </c>
      <c r="R73" s="305">
        <f t="shared" si="4"/>
        <v>89683</v>
      </c>
      <c r="S73" s="305">
        <f t="shared" si="4"/>
        <v>77368</v>
      </c>
      <c r="T73" s="305">
        <f t="shared" si="4"/>
        <v>112239</v>
      </c>
      <c r="U73" s="305">
        <f t="shared" si="4"/>
        <v>77373</v>
      </c>
      <c r="V73" s="305">
        <f t="shared" si="4"/>
        <v>83746</v>
      </c>
      <c r="W73" s="305">
        <f t="shared" si="4"/>
        <v>69442</v>
      </c>
      <c r="X73" s="305">
        <f t="shared" si="4"/>
        <v>93916</v>
      </c>
      <c r="Y73" s="244">
        <f t="shared" si="4"/>
        <v>71706</v>
      </c>
      <c r="Z73" s="263">
        <f t="shared" si="4"/>
        <v>88755</v>
      </c>
      <c r="AA73" s="243">
        <f t="shared" si="4"/>
        <v>2011</v>
      </c>
      <c r="AB73" s="263">
        <f t="shared" si="4"/>
        <v>2012</v>
      </c>
      <c r="AC73" s="242">
        <f t="shared" si="4"/>
        <v>745918.35</v>
      </c>
      <c r="AD73" s="242">
        <f t="shared" si="4"/>
        <v>996901.5</v>
      </c>
    </row>
    <row r="74" spans="4:25" ht="12.75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V74" s="25"/>
      <c r="W74" s="25"/>
      <c r="X74" s="25"/>
      <c r="Y74" s="25"/>
    </row>
  </sheetData>
  <sheetProtection/>
  <mergeCells count="29">
    <mergeCell ref="AA53:AB53"/>
    <mergeCell ref="AC53:AD53"/>
    <mergeCell ref="S53:T53"/>
    <mergeCell ref="U53:V53"/>
    <mergeCell ref="W53:X53"/>
    <mergeCell ref="Y53:Z53"/>
    <mergeCell ref="Q53:R53"/>
    <mergeCell ref="C53:D53"/>
    <mergeCell ref="E53:F53"/>
    <mergeCell ref="G53:H53"/>
    <mergeCell ref="I53:J53"/>
    <mergeCell ref="K53:L53"/>
    <mergeCell ref="M53:N53"/>
    <mergeCell ref="O53:P53"/>
    <mergeCell ref="AA4:AB4"/>
    <mergeCell ref="AC4:AD4"/>
    <mergeCell ref="S4:T4"/>
    <mergeCell ref="U4:V4"/>
    <mergeCell ref="W4:X4"/>
    <mergeCell ref="Y4:Z4"/>
    <mergeCell ref="B2:Z2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19" right="0.16" top="0.35" bottom="0.38" header="0.31" footer="0.36"/>
  <pageSetup horizontalDpi="600" verticalDpi="600" orientation="landscape" paperSize="9" scale="85" r:id="rId1"/>
  <ignoredErrors>
    <ignoredError sqref="B6:B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2012-12-29T08:35:47Z</cp:lastPrinted>
  <dcterms:created xsi:type="dcterms:W3CDTF">2010-01-14T11:57:53Z</dcterms:created>
  <dcterms:modified xsi:type="dcterms:W3CDTF">2012-12-29T10:40:00Z</dcterms:modified>
  <cp:category/>
  <cp:version/>
  <cp:contentType/>
  <cp:contentStatus/>
</cp:coreProperties>
</file>