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firstSheet="1" activeTab="1"/>
  </bookViews>
  <sheets>
    <sheet name="Анализ-ГРЦ и Эсбыт" sheetId="1" r:id="rId1"/>
    <sheet name="Эсбыт" sheetId="2" r:id="rId2"/>
  </sheets>
  <definedNames/>
  <calcPr fullCalcOnLoad="1"/>
</workbook>
</file>

<file path=xl/sharedStrings.xml><?xml version="1.0" encoding="utf-8"?>
<sst xmlns="http://schemas.openxmlformats.org/spreadsheetml/2006/main" count="198" uniqueCount="100">
  <si>
    <t>27/16</t>
  </si>
  <si>
    <t>9/43</t>
  </si>
  <si>
    <t>37/06</t>
  </si>
  <si>
    <t>37/07</t>
  </si>
  <si>
    <t>37/08</t>
  </si>
  <si>
    <t>37/21</t>
  </si>
  <si>
    <t>37/22</t>
  </si>
  <si>
    <t>37/28</t>
  </si>
  <si>
    <t>37/29</t>
  </si>
  <si>
    <t>38/09А</t>
  </si>
  <si>
    <t>39/02А</t>
  </si>
  <si>
    <t>53/27 Б,В</t>
  </si>
  <si>
    <t>53/31</t>
  </si>
  <si>
    <t>53/42</t>
  </si>
  <si>
    <t>53/44</t>
  </si>
  <si>
    <t>58/12А</t>
  </si>
  <si>
    <t>59/04Бл.1А</t>
  </si>
  <si>
    <t>59/04Бл.2Б</t>
  </si>
  <si>
    <t>59/04Бл.3В</t>
  </si>
  <si>
    <t>60/03</t>
  </si>
  <si>
    <t>60/12</t>
  </si>
  <si>
    <t>60/13</t>
  </si>
  <si>
    <t>60/14</t>
  </si>
  <si>
    <t>60/15</t>
  </si>
  <si>
    <t>60/16</t>
  </si>
  <si>
    <t>62/06-1</t>
  </si>
  <si>
    <t>62/06-2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</si>
  <si>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</si>
  <si>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</si>
  <si>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</si>
  <si>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</si>
  <si>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</si>
  <si>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</si>
  <si>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</si>
  <si>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</si>
  <si>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</si>
  <si>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</si>
  <si>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</si>
  <si>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</si>
  <si>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№п/п</t>
  </si>
  <si>
    <t>За год</t>
  </si>
  <si>
    <t>№дома</t>
  </si>
  <si>
    <t xml:space="preserve">37/03 </t>
  </si>
  <si>
    <t>S дома, м2</t>
  </si>
  <si>
    <t xml:space="preserve"> м2</t>
  </si>
  <si>
    <t>S кв-р</t>
  </si>
  <si>
    <t>№</t>
  </si>
  <si>
    <t>П/П</t>
  </si>
  <si>
    <t>дома</t>
  </si>
  <si>
    <t>ГРЦ</t>
  </si>
  <si>
    <t>э/сбыт и ГРЦ</t>
  </si>
  <si>
    <t>13/02А бл.2</t>
  </si>
  <si>
    <t>36/7-1</t>
  </si>
  <si>
    <t>37/2</t>
  </si>
  <si>
    <t>13/02А бл.1</t>
  </si>
  <si>
    <t>36/6-2</t>
  </si>
  <si>
    <t>53/30</t>
  </si>
  <si>
    <t>36/5</t>
  </si>
  <si>
    <t>36/7-2</t>
  </si>
  <si>
    <t>36-2-1</t>
  </si>
  <si>
    <t>36-2-2</t>
  </si>
  <si>
    <t>37/1</t>
  </si>
  <si>
    <t>37/27</t>
  </si>
  <si>
    <t>36/6-1</t>
  </si>
  <si>
    <t>36-2-3</t>
  </si>
  <si>
    <t>36-3-2</t>
  </si>
  <si>
    <t>60/06</t>
  </si>
  <si>
    <t>9/42</t>
  </si>
  <si>
    <t>Итого</t>
  </si>
  <si>
    <t>Э/сбыт</t>
  </si>
  <si>
    <t>Разница м/у</t>
  </si>
  <si>
    <t>Январь</t>
  </si>
  <si>
    <t>36/1</t>
  </si>
  <si>
    <t>Оплата</t>
  </si>
  <si>
    <t>36-3-1</t>
  </si>
  <si>
    <t>35-9-2</t>
  </si>
  <si>
    <t>35-10</t>
  </si>
  <si>
    <t>35-10-1</t>
  </si>
  <si>
    <t>9/21</t>
  </si>
  <si>
    <t>9/22</t>
  </si>
  <si>
    <t>9/41</t>
  </si>
  <si>
    <t>53/32</t>
  </si>
  <si>
    <t>60/07</t>
  </si>
  <si>
    <t>60/08</t>
  </si>
  <si>
    <t>Отопление за  2012г.-общая</t>
  </si>
  <si>
    <t>35-6-3</t>
  </si>
  <si>
    <t>35-8-1</t>
  </si>
  <si>
    <t xml:space="preserve"> Январь</t>
  </si>
  <si>
    <t>36-4-3</t>
  </si>
  <si>
    <t>60/09</t>
  </si>
  <si>
    <t>18/22А</t>
  </si>
  <si>
    <t>48 мкрн</t>
  </si>
  <si>
    <t>Согласовано:</t>
  </si>
  <si>
    <t>50/19</t>
  </si>
  <si>
    <t>50/20</t>
  </si>
  <si>
    <t>Год</t>
  </si>
  <si>
    <t>Декабрь  31.12.</t>
  </si>
  <si>
    <t>Истолнитель________________ Гаращенко М.А.</t>
  </si>
  <si>
    <t>гл.инженер _________________ Хасанова Т.В.</t>
  </si>
  <si>
    <t>Сравнительный анализ потребления ГВС по  жилым домам за период с января по ноябрь  2011-2012г.г.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</si>
</sst>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33" borderId="19" xfId="0" applyFon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0" fillId="0" borderId="13" xfId="0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1" fillId="0" borderId="40" xfId="0" applyFont="1" applyBorder="1" applyAlignment="1">
      <alignment horizontal="right"/>
    </xf>
    <xf numFmtId="2" fontId="0" fillId="0" borderId="40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33" borderId="41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2" fontId="0" fillId="33" borderId="44" xfId="0" applyNumberFormat="1" applyFill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35" borderId="23" xfId="0" applyNumberFormat="1" applyFont="1" applyFill="1" applyBorder="1" applyAlignment="1">
      <alignment horizontal="center"/>
    </xf>
    <xf numFmtId="2" fontId="14" fillId="35" borderId="19" xfId="0" applyNumberFormat="1" applyFont="1" applyFill="1" applyBorder="1" applyAlignment="1">
      <alignment horizontal="center"/>
    </xf>
    <xf numFmtId="2" fontId="14" fillId="35" borderId="17" xfId="0" applyNumberFormat="1" applyFont="1" applyFill="1" applyBorder="1" applyAlignment="1">
      <alignment horizontal="center"/>
    </xf>
    <xf numFmtId="2" fontId="14" fillId="35" borderId="40" xfId="0" applyNumberFormat="1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2" fontId="14" fillId="35" borderId="24" xfId="0" applyNumberFormat="1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right"/>
    </xf>
    <xf numFmtId="2" fontId="14" fillId="35" borderId="20" xfId="0" applyNumberFormat="1" applyFont="1" applyFill="1" applyBorder="1" applyAlignment="1">
      <alignment/>
    </xf>
    <xf numFmtId="2" fontId="14" fillId="35" borderId="19" xfId="0" applyNumberFormat="1" applyFont="1" applyFill="1" applyBorder="1" applyAlignment="1">
      <alignment/>
    </xf>
    <xf numFmtId="2" fontId="0" fillId="35" borderId="2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40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2" fontId="0" fillId="36" borderId="24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 horizontal="right"/>
    </xf>
    <xf numFmtId="2" fontId="0" fillId="36" borderId="20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6" borderId="23" xfId="0" applyNumberFormat="1" applyFont="1" applyFill="1" applyBorder="1" applyAlignment="1">
      <alignment horizontal="center"/>
    </xf>
    <xf numFmtId="2" fontId="14" fillId="36" borderId="23" xfId="0" applyNumberFormat="1" applyFont="1" applyFill="1" applyBorder="1" applyAlignment="1">
      <alignment horizontal="center"/>
    </xf>
    <xf numFmtId="2" fontId="14" fillId="36" borderId="19" xfId="0" applyNumberFormat="1" applyFont="1" applyFill="1" applyBorder="1" applyAlignment="1">
      <alignment horizontal="center"/>
    </xf>
    <xf numFmtId="2" fontId="14" fillId="36" borderId="17" xfId="0" applyNumberFormat="1" applyFont="1" applyFill="1" applyBorder="1" applyAlignment="1">
      <alignment horizontal="center"/>
    </xf>
    <xf numFmtId="2" fontId="14" fillId="36" borderId="40" xfId="0" applyNumberFormat="1" applyFont="1" applyFill="1" applyBorder="1" applyAlignment="1">
      <alignment horizontal="center"/>
    </xf>
    <xf numFmtId="2" fontId="14" fillId="36" borderId="24" xfId="0" applyNumberFormat="1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right"/>
    </xf>
    <xf numFmtId="2" fontId="14" fillId="36" borderId="20" xfId="0" applyNumberFormat="1" applyFont="1" applyFill="1" applyBorder="1" applyAlignment="1">
      <alignment/>
    </xf>
    <xf numFmtId="2" fontId="14" fillId="36" borderId="19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11" fillId="33" borderId="33" xfId="0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 horizontal="center"/>
    </xf>
    <xf numFmtId="0" fontId="11" fillId="34" borderId="35" xfId="0" applyFont="1" applyFill="1" applyBorder="1" applyAlignment="1">
      <alignment horizontal="right"/>
    </xf>
    <xf numFmtId="0" fontId="11" fillId="34" borderId="20" xfId="0" applyFont="1" applyFill="1" applyBorder="1" applyAlignment="1">
      <alignment horizontal="right"/>
    </xf>
    <xf numFmtId="0" fontId="11" fillId="34" borderId="20" xfId="0" applyNumberFormat="1" applyFont="1" applyFill="1" applyBorder="1" applyAlignment="1">
      <alignment horizontal="right"/>
    </xf>
    <xf numFmtId="0" fontId="11" fillId="34" borderId="20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37" xfId="0" applyFont="1" applyFill="1" applyBorder="1" applyAlignment="1">
      <alignment/>
    </xf>
    <xf numFmtId="0" fontId="15" fillId="0" borderId="47" xfId="0" applyNumberFormat="1" applyFon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19" xfId="0" applyNumberFormat="1" applyFont="1" applyFill="1" applyBorder="1" applyAlignment="1">
      <alignment horizontal="center"/>
    </xf>
    <xf numFmtId="2" fontId="14" fillId="33" borderId="17" xfId="0" applyNumberFormat="1" applyFont="1" applyFill="1" applyBorder="1" applyAlignment="1">
      <alignment horizontal="center"/>
    </xf>
    <xf numFmtId="2" fontId="14" fillId="33" borderId="40" xfId="0" applyNumberFormat="1" applyFont="1" applyFill="1" applyBorder="1" applyAlignment="1">
      <alignment horizontal="center"/>
    </xf>
    <xf numFmtId="2" fontId="14" fillId="33" borderId="24" xfId="0" applyNumberFormat="1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right"/>
    </xf>
    <xf numFmtId="2" fontId="14" fillId="33" borderId="20" xfId="0" applyNumberFormat="1" applyFont="1" applyFill="1" applyBorder="1" applyAlignment="1">
      <alignment/>
    </xf>
    <xf numFmtId="2" fontId="14" fillId="33" borderId="19" xfId="0" applyNumberFormat="1" applyFont="1" applyFill="1" applyBorder="1" applyAlignment="1">
      <alignment/>
    </xf>
    <xf numFmtId="2" fontId="0" fillId="0" borderId="47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33" borderId="45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right"/>
    </xf>
    <xf numFmtId="0" fontId="11" fillId="33" borderId="40" xfId="0" applyFont="1" applyFill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36" borderId="41" xfId="0" applyFont="1" applyFill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0" fontId="0" fillId="33" borderId="48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36" borderId="40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6" borderId="23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2" fontId="14" fillId="33" borderId="3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4" xfId="0" applyNumberFormat="1" applyFont="1" applyFill="1" applyBorder="1" applyAlignment="1">
      <alignment horizontal="center"/>
    </xf>
    <xf numFmtId="0" fontId="0" fillId="34" borderId="41" xfId="0" applyNumberFormat="1" applyFont="1" applyFill="1" applyBorder="1" applyAlignment="1">
      <alignment horizontal="center"/>
    </xf>
    <xf numFmtId="0" fontId="0" fillId="34" borderId="54" xfId="0" applyNumberFormat="1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33" borderId="41" xfId="0" applyFont="1" applyFill="1" applyBorder="1" applyAlignment="1">
      <alignment horizontal="center"/>
    </xf>
    <xf numFmtId="0" fontId="6" fillId="0" borderId="55" xfId="0" applyFont="1" applyBorder="1" applyAlignment="1">
      <alignment horizontal="center" wrapText="1"/>
    </xf>
    <xf numFmtId="2" fontId="12" fillId="33" borderId="44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2" fontId="11" fillId="33" borderId="41" xfId="0" applyNumberFormat="1" applyFont="1" applyFill="1" applyBorder="1" applyAlignment="1">
      <alignment horizontal="center"/>
    </xf>
    <xf numFmtId="2" fontId="11" fillId="33" borderId="44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0" fillId="33" borderId="4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2" fontId="12" fillId="33" borderId="43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4" xfId="0" applyNumberFormat="1" applyFont="1" applyFill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54" xfId="0" applyBorder="1" applyAlignment="1">
      <alignment/>
    </xf>
    <xf numFmtId="0" fontId="0" fillId="33" borderId="14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2" fontId="11" fillId="33" borderId="30" xfId="0" applyNumberFormat="1" applyFont="1" applyFill="1" applyBorder="1" applyAlignment="1">
      <alignment horizontal="center"/>
    </xf>
    <xf numFmtId="2" fontId="11" fillId="33" borderId="31" xfId="0" applyNumberFormat="1" applyFont="1" applyFill="1" applyBorder="1" applyAlignment="1">
      <alignment horizontal="center"/>
    </xf>
    <xf numFmtId="2" fontId="11" fillId="33" borderId="56" xfId="0" applyNumberFormat="1" applyFont="1" applyFill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2" fontId="12" fillId="33" borderId="41" xfId="0" applyNumberFormat="1" applyFont="1" applyFill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56" xfId="0" applyNumberFormat="1" applyFill="1" applyBorder="1" applyAlignment="1">
      <alignment horizontal="center"/>
    </xf>
    <xf numFmtId="1" fontId="0" fillId="33" borderId="31" xfId="0" applyNumberFormat="1" applyFont="1" applyFill="1" applyBorder="1" applyAlignment="1">
      <alignment horizontal="center"/>
    </xf>
    <xf numFmtId="1" fontId="0" fillId="33" borderId="30" xfId="0" applyNumberFormat="1" applyFon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1" fontId="0" fillId="33" borderId="56" xfId="0" applyNumberFormat="1" applyFill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1" fontId="0" fillId="0" borderId="34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0" fillId="0" borderId="10" xfId="0" applyBorder="1" applyAlignment="1">
      <alignment/>
    </xf>
    <xf numFmtId="1" fontId="6" fillId="0" borderId="43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60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10.375" style="0" customWidth="1"/>
    <col min="4" max="4" width="6.875" style="0" customWidth="1"/>
    <col min="5" max="5" width="7.25390625" style="0" customWidth="1"/>
    <col min="6" max="6" width="7.375" style="0" customWidth="1"/>
    <col min="7" max="7" width="8.00390625" style="0" customWidth="1"/>
    <col min="8" max="8" width="8.875" style="0" customWidth="1"/>
    <col min="9" max="9" width="7.75390625" style="0" customWidth="1"/>
    <col min="10" max="10" width="8.375" style="0" customWidth="1"/>
    <col min="11" max="11" width="7.75390625" style="0" customWidth="1"/>
    <col min="12" max="12" width="7.25390625" style="0" customWidth="1"/>
    <col min="13" max="13" width="7.375" style="0" customWidth="1"/>
    <col min="14" max="14" width="7.25390625" style="0" customWidth="1"/>
    <col min="15" max="15" width="7.75390625" style="0" customWidth="1"/>
    <col min="16" max="16" width="6.75390625" style="0" customWidth="1"/>
    <col min="17" max="17" width="7.375" style="0" customWidth="1"/>
    <col min="18" max="18" width="6.375" style="0" customWidth="1"/>
    <col min="19" max="28" width="9.00390625" style="0" customWidth="1"/>
    <col min="29" max="29" width="8.375" style="0" customWidth="1"/>
    <col min="30" max="30" width="8.75390625" style="0" customWidth="1"/>
    <col min="31" max="31" width="10.375" style="0" customWidth="1"/>
    <col min="33" max="33" width="10.375" style="0" customWidth="1"/>
    <col min="34" max="36" width="10.00390625" style="0" customWidth="1"/>
    <col min="37" max="37" width="11.375" style="0" customWidth="1"/>
    <col min="38" max="38" width="10.625" style="0" customWidth="1"/>
    <col min="39" max="39" width="12.00390625" style="0" customWidth="1"/>
    <col min="40" max="40" width="11.875" style="0" customWidth="1"/>
    <col min="42" max="42" width="10.25390625" style="0" customWidth="1"/>
  </cols>
  <sheetData>
    <row r="3" spans="3:37" ht="18">
      <c r="C3" s="18" t="s">
        <v>84</v>
      </c>
      <c r="D3" s="19"/>
      <c r="E3" s="19"/>
      <c r="F3" s="19"/>
      <c r="G3" s="19"/>
      <c r="H3" s="19"/>
      <c r="I3" s="19"/>
      <c r="J3" s="19"/>
      <c r="K3" s="19"/>
      <c r="L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"/>
      <c r="AI3" s="1"/>
      <c r="AJ3" s="1"/>
      <c r="AK3" s="1"/>
    </row>
    <row r="4" spans="3:37" ht="16.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8" ht="16.5" thickBot="1">
      <c r="B5" s="9" t="s">
        <v>46</v>
      </c>
      <c r="C5" s="10" t="s">
        <v>46</v>
      </c>
      <c r="D5" s="10" t="s">
        <v>45</v>
      </c>
      <c r="E5" s="336" t="s">
        <v>87</v>
      </c>
      <c r="F5" s="337"/>
      <c r="G5" s="336" t="s">
        <v>27</v>
      </c>
      <c r="H5" s="337"/>
      <c r="I5" s="336" t="s">
        <v>28</v>
      </c>
      <c r="J5" s="337"/>
      <c r="K5" s="336" t="s">
        <v>29</v>
      </c>
      <c r="L5" s="337"/>
      <c r="M5" s="336" t="s">
        <v>30</v>
      </c>
      <c r="N5" s="337"/>
      <c r="O5" s="338" t="s">
        <v>31</v>
      </c>
      <c r="P5" s="339"/>
      <c r="Q5" s="338" t="s">
        <v>32</v>
      </c>
      <c r="R5" s="339"/>
      <c r="S5" s="336" t="s">
        <v>33</v>
      </c>
      <c r="T5" s="337"/>
      <c r="U5" s="336" t="s">
        <v>34</v>
      </c>
      <c r="V5" s="337"/>
      <c r="W5" s="336" t="s">
        <v>35</v>
      </c>
      <c r="X5" s="337"/>
      <c r="Y5" s="336" t="s">
        <v>36</v>
      </c>
      <c r="Z5" s="337"/>
      <c r="AA5" s="336" t="s">
        <v>37</v>
      </c>
      <c r="AB5" s="337"/>
      <c r="AC5" s="3" t="s">
        <v>40</v>
      </c>
      <c r="AD5" s="3" t="s">
        <v>40</v>
      </c>
      <c r="AE5" s="8" t="s">
        <v>70</v>
      </c>
      <c r="AF5" s="1"/>
      <c r="AG5" s="2"/>
      <c r="AH5" s="1"/>
      <c r="AI5" s="1"/>
      <c r="AJ5" s="1"/>
      <c r="AK5" s="1"/>
      <c r="AL5" s="1"/>
    </row>
    <row r="6" spans="2:38" ht="13.5" thickBot="1">
      <c r="B6" s="26" t="s">
        <v>47</v>
      </c>
      <c r="C6" s="40" t="s">
        <v>48</v>
      </c>
      <c r="D6" s="34" t="s">
        <v>44</v>
      </c>
      <c r="E6" s="201" t="s">
        <v>73</v>
      </c>
      <c r="F6" s="194" t="s">
        <v>69</v>
      </c>
      <c r="G6" s="201" t="s">
        <v>73</v>
      </c>
      <c r="H6" s="34" t="s">
        <v>69</v>
      </c>
      <c r="I6" s="201" t="s">
        <v>73</v>
      </c>
      <c r="J6" s="10" t="s">
        <v>69</v>
      </c>
      <c r="K6" s="201" t="s">
        <v>73</v>
      </c>
      <c r="L6" s="27" t="s">
        <v>69</v>
      </c>
      <c r="M6" s="214" t="s">
        <v>49</v>
      </c>
      <c r="N6" s="10" t="s">
        <v>69</v>
      </c>
      <c r="O6" s="201" t="s">
        <v>49</v>
      </c>
      <c r="P6" s="194" t="s">
        <v>69</v>
      </c>
      <c r="Q6" s="214" t="s">
        <v>49</v>
      </c>
      <c r="R6" s="10" t="s">
        <v>69</v>
      </c>
      <c r="S6" s="34" t="s">
        <v>49</v>
      </c>
      <c r="T6" s="9" t="s">
        <v>69</v>
      </c>
      <c r="U6" s="34" t="s">
        <v>49</v>
      </c>
      <c r="V6" s="9" t="s">
        <v>69</v>
      </c>
      <c r="W6" s="40" t="s">
        <v>49</v>
      </c>
      <c r="X6" s="34" t="s">
        <v>69</v>
      </c>
      <c r="Y6" s="26" t="s">
        <v>49</v>
      </c>
      <c r="Z6" s="11" t="s">
        <v>69</v>
      </c>
      <c r="AA6" s="26" t="s">
        <v>49</v>
      </c>
      <c r="AB6" s="11" t="s">
        <v>69</v>
      </c>
      <c r="AC6" s="76" t="s">
        <v>73</v>
      </c>
      <c r="AD6" s="17" t="s">
        <v>69</v>
      </c>
      <c r="AE6" s="17" t="s">
        <v>50</v>
      </c>
      <c r="AF6" s="6"/>
      <c r="AG6" s="6"/>
      <c r="AH6" s="7"/>
      <c r="AI6" s="7"/>
      <c r="AJ6" s="7"/>
      <c r="AK6" s="7"/>
      <c r="AL6" s="7"/>
    </row>
    <row r="7" spans="2:38" ht="12.75">
      <c r="B7" s="181">
        <v>1</v>
      </c>
      <c r="C7" s="183" t="s">
        <v>78</v>
      </c>
      <c r="D7" s="150">
        <v>6457.6</v>
      </c>
      <c r="E7" s="202" t="e">
        <f>#REF!</f>
        <v>#REF!</v>
      </c>
      <c r="F7" s="195">
        <f>Эсбыт!F6</f>
        <v>340</v>
      </c>
      <c r="G7" s="209" t="e">
        <f>#REF!</f>
        <v>#REF!</v>
      </c>
      <c r="H7" s="208">
        <f>Эсбыт!H6</f>
        <v>585</v>
      </c>
      <c r="I7" s="202" t="e">
        <f>#REF!</f>
        <v>#REF!</v>
      </c>
      <c r="J7" s="210">
        <f>Эсбыт!J6</f>
        <v>542</v>
      </c>
      <c r="K7" s="211" t="e">
        <f>#REF!</f>
        <v>#REF!</v>
      </c>
      <c r="L7" s="99">
        <f>Эсбыт!L6</f>
        <v>622</v>
      </c>
      <c r="M7" s="215" t="e">
        <f>#REF!</f>
        <v>#REF!</v>
      </c>
      <c r="N7" s="213">
        <f>Эсбыт!N6</f>
        <v>542</v>
      </c>
      <c r="O7" s="211" t="e">
        <f>#REF!</f>
        <v>#REF!</v>
      </c>
      <c r="P7" s="99">
        <f>Эсбыт!P6</f>
        <v>662</v>
      </c>
      <c r="Q7" s="215" t="e">
        <f>#REF!</f>
        <v>#REF!</v>
      </c>
      <c r="R7" s="213">
        <f>Эсбыт!R6</f>
        <v>298</v>
      </c>
      <c r="S7" s="211" t="e">
        <f>#REF!</f>
        <v>#REF!</v>
      </c>
      <c r="T7" s="213">
        <f>Эсбыт!T6</f>
        <v>310</v>
      </c>
      <c r="U7" s="53"/>
      <c r="V7" s="59"/>
      <c r="W7" s="52"/>
      <c r="X7" s="65"/>
      <c r="Y7" s="53"/>
      <c r="Z7" s="42"/>
      <c r="AA7" s="53"/>
      <c r="AB7" s="42"/>
      <c r="AC7" s="29" t="e">
        <f aca="true" t="shared" si="0" ref="AC7:AD11">AA7+Y7+W7+U7+S7+Q7+O7+M7+K7+I7+G7+E7</f>
        <v>#REF!</v>
      </c>
      <c r="AD7" s="30">
        <f t="shared" si="0"/>
        <v>3901</v>
      </c>
      <c r="AE7" s="71" t="e">
        <f>AD7-AC7</f>
        <v>#REF!</v>
      </c>
      <c r="AF7" s="6"/>
      <c r="AG7" s="6"/>
      <c r="AH7" s="7"/>
      <c r="AI7" s="7"/>
      <c r="AJ7" s="7"/>
      <c r="AK7" s="7"/>
      <c r="AL7" s="7"/>
    </row>
    <row r="8" spans="2:38" ht="12.75">
      <c r="B8" s="180">
        <f>B7+1</f>
        <v>2</v>
      </c>
      <c r="C8" s="184" t="s">
        <v>79</v>
      </c>
      <c r="D8" s="151">
        <v>12688.5</v>
      </c>
      <c r="E8" s="203" t="e">
        <f>#REF!</f>
        <v>#REF!</v>
      </c>
      <c r="F8" s="196">
        <f>Эсбыт!F7</f>
        <v>700</v>
      </c>
      <c r="G8" s="203" t="e">
        <f>#REF!</f>
        <v>#REF!</v>
      </c>
      <c r="H8" s="196">
        <f>Эсбыт!H7</f>
        <v>1160</v>
      </c>
      <c r="I8" s="203" t="e">
        <f>#REF!</f>
        <v>#REF!</v>
      </c>
      <c r="J8" s="85">
        <f>Эсбыт!J7</f>
        <v>1155</v>
      </c>
      <c r="K8" s="54" t="e">
        <f>#REF!</f>
        <v>#REF!</v>
      </c>
      <c r="L8" s="93">
        <f>Эсбыт!L7</f>
        <v>1125</v>
      </c>
      <c r="M8" s="216" t="e">
        <f>#REF!</f>
        <v>#REF!</v>
      </c>
      <c r="N8" s="92">
        <f>Эсбыт!N7</f>
        <v>915</v>
      </c>
      <c r="O8" s="54" t="e">
        <f>#REF!</f>
        <v>#REF!</v>
      </c>
      <c r="P8" s="95">
        <f>Эсбыт!P7</f>
        <v>1169</v>
      </c>
      <c r="Q8" s="216" t="e">
        <f>#REF!</f>
        <v>#REF!</v>
      </c>
      <c r="R8" s="92">
        <f>Эсбыт!R7</f>
        <v>443</v>
      </c>
      <c r="S8" s="54" t="e">
        <f>#REF!</f>
        <v>#REF!</v>
      </c>
      <c r="T8" s="92">
        <f>Эсбыт!T7</f>
        <v>529</v>
      </c>
      <c r="U8" s="47"/>
      <c r="V8" s="60"/>
      <c r="W8" s="48"/>
      <c r="X8" s="66"/>
      <c r="Y8" s="47"/>
      <c r="Z8" s="43"/>
      <c r="AA8" s="47"/>
      <c r="AB8" s="43"/>
      <c r="AC8" s="31" t="e">
        <f t="shared" si="0"/>
        <v>#REF!</v>
      </c>
      <c r="AD8" s="30">
        <f t="shared" si="0"/>
        <v>7196</v>
      </c>
      <c r="AE8" s="46" t="e">
        <f>AD8-AC8</f>
        <v>#REF!</v>
      </c>
      <c r="AF8" s="6"/>
      <c r="AG8" s="6"/>
      <c r="AH8" s="7"/>
      <c r="AI8" s="7"/>
      <c r="AJ8" s="7"/>
      <c r="AK8" s="7"/>
      <c r="AL8" s="7"/>
    </row>
    <row r="9" spans="2:38" ht="12.75">
      <c r="B9" s="180">
        <f aca="true" t="shared" si="1" ref="B9:B68">B8+1</f>
        <v>3</v>
      </c>
      <c r="C9" s="184" t="s">
        <v>80</v>
      </c>
      <c r="D9" s="151">
        <v>11181.7</v>
      </c>
      <c r="E9" s="203" t="e">
        <f>#REF!</f>
        <v>#REF!</v>
      </c>
      <c r="F9" s="196">
        <f>Эсбыт!F8</f>
        <v>349</v>
      </c>
      <c r="G9" s="203" t="e">
        <f>#REF!</f>
        <v>#REF!</v>
      </c>
      <c r="H9" s="196">
        <f>Эсбыт!H8</f>
        <v>681</v>
      </c>
      <c r="I9" s="203" t="e">
        <f>#REF!</f>
        <v>#REF!</v>
      </c>
      <c r="J9" s="85">
        <f>Эсбыт!J8</f>
        <v>574</v>
      </c>
      <c r="K9" s="54" t="e">
        <f>#REF!</f>
        <v>#REF!</v>
      </c>
      <c r="L9" s="93">
        <f>Эсбыт!L8</f>
        <v>625</v>
      </c>
      <c r="M9" s="216" t="e">
        <f>#REF!</f>
        <v>#REF!</v>
      </c>
      <c r="N9" s="92">
        <f>Эсбыт!N8</f>
        <v>576</v>
      </c>
      <c r="O9" s="54" t="e">
        <f>#REF!</f>
        <v>#REF!</v>
      </c>
      <c r="P9" s="95">
        <f>Эсбыт!P8</f>
        <v>779</v>
      </c>
      <c r="Q9" s="216" t="e">
        <f>#REF!</f>
        <v>#REF!</v>
      </c>
      <c r="R9" s="92">
        <f>Эсбыт!R8</f>
        <v>394</v>
      </c>
      <c r="S9" s="54" t="e">
        <f>#REF!</f>
        <v>#REF!</v>
      </c>
      <c r="T9" s="92">
        <f>Эсбыт!T8</f>
        <v>311</v>
      </c>
      <c r="U9" s="47"/>
      <c r="V9" s="60"/>
      <c r="W9" s="48"/>
      <c r="X9" s="66"/>
      <c r="Y9" s="47"/>
      <c r="Z9" s="43"/>
      <c r="AA9" s="47"/>
      <c r="AB9" s="43"/>
      <c r="AC9" s="31" t="e">
        <f t="shared" si="0"/>
        <v>#REF!</v>
      </c>
      <c r="AD9" s="30">
        <f t="shared" si="0"/>
        <v>4289</v>
      </c>
      <c r="AE9" s="46" t="e">
        <f>AD9-AC9</f>
        <v>#REF!</v>
      </c>
      <c r="AF9" s="6"/>
      <c r="AG9" s="6"/>
      <c r="AH9" s="7"/>
      <c r="AI9" s="7"/>
      <c r="AJ9" s="7"/>
      <c r="AK9" s="7"/>
      <c r="AL9" s="7"/>
    </row>
    <row r="10" spans="2:38" ht="12.75">
      <c r="B10" s="180">
        <f t="shared" si="1"/>
        <v>4</v>
      </c>
      <c r="C10" s="184" t="s">
        <v>67</v>
      </c>
      <c r="D10" s="152">
        <v>10509.4</v>
      </c>
      <c r="E10" s="203" t="e">
        <f>#REF!</f>
        <v>#REF!</v>
      </c>
      <c r="F10" s="196">
        <f>Эсбыт!F9</f>
        <v>136</v>
      </c>
      <c r="G10" s="203" t="e">
        <f>#REF!</f>
        <v>#REF!</v>
      </c>
      <c r="H10" s="196">
        <f>Эсбыт!H9</f>
        <v>270</v>
      </c>
      <c r="I10" s="203" t="e">
        <f>#REF!</f>
        <v>#REF!</v>
      </c>
      <c r="J10" s="85">
        <f>Эсбыт!J9</f>
        <v>341</v>
      </c>
      <c r="K10" s="54" t="e">
        <f>#REF!</f>
        <v>#REF!</v>
      </c>
      <c r="L10" s="93">
        <f>Эсбыт!L9</f>
        <v>287</v>
      </c>
      <c r="M10" s="216" t="e">
        <f>#REF!</f>
        <v>#REF!</v>
      </c>
      <c r="N10" s="92">
        <f>Эсбыт!N9</f>
        <v>253</v>
      </c>
      <c r="O10" s="54" t="e">
        <f>#REF!</f>
        <v>#REF!</v>
      </c>
      <c r="P10" s="95">
        <f>Эсбыт!P9</f>
        <v>307</v>
      </c>
      <c r="Q10" s="216" t="e">
        <f>#REF!</f>
        <v>#REF!</v>
      </c>
      <c r="R10" s="92">
        <f>Эсбыт!R9</f>
        <v>138</v>
      </c>
      <c r="S10" s="54" t="e">
        <f>#REF!</f>
        <v>#REF!</v>
      </c>
      <c r="T10" s="92">
        <f>Эсбыт!T9</f>
        <v>123</v>
      </c>
      <c r="U10" s="47"/>
      <c r="V10" s="60"/>
      <c r="W10" s="48"/>
      <c r="X10" s="66"/>
      <c r="Y10" s="47"/>
      <c r="Z10" s="35"/>
      <c r="AA10" s="47"/>
      <c r="AB10" s="35"/>
      <c r="AC10" s="31" t="e">
        <f t="shared" si="0"/>
        <v>#REF!</v>
      </c>
      <c r="AD10" s="30">
        <f t="shared" si="0"/>
        <v>1855</v>
      </c>
      <c r="AE10" s="31" t="e">
        <f>AD10-AC10</f>
        <v>#REF!</v>
      </c>
      <c r="AF10" s="6"/>
      <c r="AG10" s="6"/>
      <c r="AH10" s="7"/>
      <c r="AI10" s="7"/>
      <c r="AJ10" s="7"/>
      <c r="AK10" s="7"/>
      <c r="AL10" s="7"/>
    </row>
    <row r="11" spans="2:38" ht="12.75" customHeight="1">
      <c r="B11" s="180">
        <f t="shared" si="1"/>
        <v>5</v>
      </c>
      <c r="C11" s="184" t="s">
        <v>1</v>
      </c>
      <c r="D11" s="152">
        <v>9045.5</v>
      </c>
      <c r="E11" s="203" t="e">
        <f>#REF!</f>
        <v>#REF!</v>
      </c>
      <c r="F11" s="196">
        <f>Эсбыт!F10</f>
        <v>327</v>
      </c>
      <c r="G11" s="203" t="e">
        <f>#REF!</f>
        <v>#REF!</v>
      </c>
      <c r="H11" s="196">
        <f>Эсбыт!H10</f>
        <v>565</v>
      </c>
      <c r="I11" s="203" t="e">
        <f>#REF!</f>
        <v>#REF!</v>
      </c>
      <c r="J11" s="85">
        <f>Эсбыт!J10</f>
        <v>516</v>
      </c>
      <c r="K11" s="54" t="e">
        <f>#REF!</f>
        <v>#REF!</v>
      </c>
      <c r="L11" s="93">
        <f>Эсбыт!L10</f>
        <v>546</v>
      </c>
      <c r="M11" s="216" t="e">
        <f>#REF!</f>
        <v>#REF!</v>
      </c>
      <c r="N11" s="92">
        <f>Эсбыт!N10</f>
        <v>466</v>
      </c>
      <c r="O11" s="54" t="e">
        <f>#REF!</f>
        <v>#REF!</v>
      </c>
      <c r="P11" s="95">
        <f>Эсбыт!P10</f>
        <v>669</v>
      </c>
      <c r="Q11" s="216" t="e">
        <f>#REF!</f>
        <v>#REF!</v>
      </c>
      <c r="R11" s="92">
        <f>Эсбыт!R10</f>
        <v>276</v>
      </c>
      <c r="S11" s="54" t="e">
        <f>#REF!</f>
        <v>#REF!</v>
      </c>
      <c r="T11" s="92">
        <f>Эсбыт!T10</f>
        <v>167</v>
      </c>
      <c r="U11" s="54"/>
      <c r="V11" s="61"/>
      <c r="W11" s="51"/>
      <c r="X11" s="67"/>
      <c r="Y11" s="47"/>
      <c r="Z11" s="35"/>
      <c r="AA11" s="47"/>
      <c r="AB11" s="35"/>
      <c r="AC11" s="31" t="e">
        <f t="shared" si="0"/>
        <v>#REF!</v>
      </c>
      <c r="AD11" s="30">
        <f t="shared" si="0"/>
        <v>3532</v>
      </c>
      <c r="AE11" s="31" t="e">
        <f>AD11-AC11</f>
        <v>#REF!</v>
      </c>
      <c r="AF11" s="13"/>
      <c r="AG11" s="13"/>
      <c r="AH11" s="13"/>
      <c r="AI11" s="13"/>
      <c r="AJ11" s="14"/>
      <c r="AK11" s="15"/>
      <c r="AL11" s="13"/>
    </row>
    <row r="12" spans="2:38" ht="12.75" customHeight="1">
      <c r="B12" s="180">
        <f t="shared" si="1"/>
        <v>6</v>
      </c>
      <c r="C12" s="190" t="s">
        <v>54</v>
      </c>
      <c r="D12" s="154">
        <v>7179.6</v>
      </c>
      <c r="E12" s="162" t="e">
        <f>#REF!</f>
        <v>#REF!</v>
      </c>
      <c r="F12" s="165">
        <f>Эсбыт!F11</f>
        <v>152</v>
      </c>
      <c r="G12" s="162" t="e">
        <f>#REF!</f>
        <v>#REF!</v>
      </c>
      <c r="H12" s="165">
        <f>Эсбыт!H11</f>
        <v>276</v>
      </c>
      <c r="I12" s="162" t="e">
        <f>#REF!</f>
        <v>#REF!</v>
      </c>
      <c r="J12" s="163">
        <f>Эсбыт!J11</f>
        <v>256</v>
      </c>
      <c r="K12" s="162" t="e">
        <f>#REF!</f>
        <v>#REF!</v>
      </c>
      <c r="L12" s="164">
        <f>Эсбыт!L11</f>
        <v>268</v>
      </c>
      <c r="M12" s="162" t="e">
        <f>#REF!</f>
        <v>#REF!</v>
      </c>
      <c r="N12" s="163">
        <f>Эсбыт!N11</f>
        <v>201</v>
      </c>
      <c r="O12" s="162" t="e">
        <f>#REF!</f>
        <v>#REF!</v>
      </c>
      <c r="P12" s="165">
        <f>Эсбыт!P11</f>
        <v>367</v>
      </c>
      <c r="Q12" s="162" t="e">
        <f>#REF!</f>
        <v>#REF!</v>
      </c>
      <c r="R12" s="163">
        <f>Эсбыт!R11</f>
        <v>195</v>
      </c>
      <c r="S12" s="162" t="e">
        <f>#REF!</f>
        <v>#REF!</v>
      </c>
      <c r="T12" s="163">
        <f>Эсбыт!T11</f>
        <v>205</v>
      </c>
      <c r="U12" s="162"/>
      <c r="V12" s="223"/>
      <c r="W12" s="166"/>
      <c r="X12" s="224"/>
      <c r="Y12" s="169"/>
      <c r="Z12" s="170"/>
      <c r="AA12" s="169"/>
      <c r="AB12" s="170"/>
      <c r="AC12" s="171" t="e">
        <f aca="true" t="shared" si="2" ref="AC12:AC68">AA12+Y12+W12+U12+S12+Q12+O12+M12+K12+I12+G12+E12</f>
        <v>#REF!</v>
      </c>
      <c r="AD12" s="172">
        <f aca="true" t="shared" si="3" ref="AD12:AD68">AB12+Z12+X12+V12+T12+R12+P12+N12+L12+J12+H12+F12</f>
        <v>1920</v>
      </c>
      <c r="AE12" s="171" t="e">
        <f aca="true" t="shared" si="4" ref="AE12:AE68">AD12-AC12</f>
        <v>#REF!</v>
      </c>
      <c r="AF12" s="13"/>
      <c r="AG12" s="13"/>
      <c r="AH12" s="13"/>
      <c r="AI12" s="13"/>
      <c r="AJ12" s="13"/>
      <c r="AK12" s="15"/>
      <c r="AL12" s="16"/>
    </row>
    <row r="13" spans="2:38" ht="12.75" customHeight="1">
      <c r="B13" s="180">
        <f t="shared" si="1"/>
        <v>7</v>
      </c>
      <c r="C13" s="44" t="s">
        <v>51</v>
      </c>
      <c r="D13" s="153">
        <v>7003.6</v>
      </c>
      <c r="E13" s="203" t="e">
        <f>#REF!</f>
        <v>#REF!</v>
      </c>
      <c r="F13" s="196">
        <f>Эсбыт!F12</f>
        <v>199</v>
      </c>
      <c r="G13" s="203" t="e">
        <f>#REF!</f>
        <v>#REF!</v>
      </c>
      <c r="H13" s="196">
        <f>Эсбыт!H12</f>
        <v>348</v>
      </c>
      <c r="I13" s="203" t="e">
        <f>#REF!</f>
        <v>#REF!</v>
      </c>
      <c r="J13" s="85">
        <f>Эсбыт!J12</f>
        <v>329</v>
      </c>
      <c r="K13" s="54" t="e">
        <f>#REF!</f>
        <v>#REF!</v>
      </c>
      <c r="L13" s="93">
        <f>Эсбыт!L12</f>
        <v>375</v>
      </c>
      <c r="M13" s="216" t="e">
        <f>#REF!</f>
        <v>#REF!</v>
      </c>
      <c r="N13" s="92">
        <f>Эсбыт!N12</f>
        <v>291</v>
      </c>
      <c r="O13" s="54" t="e">
        <f>#REF!</f>
        <v>#REF!</v>
      </c>
      <c r="P13" s="95">
        <f>Эсбыт!P12</f>
        <v>347</v>
      </c>
      <c r="Q13" s="216" t="e">
        <f>#REF!</f>
        <v>#REF!</v>
      </c>
      <c r="R13" s="92">
        <f>Эсбыт!R12</f>
        <v>160</v>
      </c>
      <c r="S13" s="54" t="e">
        <f>#REF!</f>
        <v>#REF!</v>
      </c>
      <c r="T13" s="92">
        <f>Эсбыт!T12</f>
        <v>187</v>
      </c>
      <c r="U13" s="54"/>
      <c r="V13" s="61"/>
      <c r="W13" s="51"/>
      <c r="X13" s="67"/>
      <c r="Y13" s="47"/>
      <c r="Z13" s="36"/>
      <c r="AA13" s="47"/>
      <c r="AB13" s="36"/>
      <c r="AC13" s="31" t="e">
        <f t="shared" si="2"/>
        <v>#REF!</v>
      </c>
      <c r="AD13" s="30">
        <f t="shared" si="3"/>
        <v>2236</v>
      </c>
      <c r="AE13" s="31" t="e">
        <f t="shared" si="4"/>
        <v>#REF!</v>
      </c>
      <c r="AF13" s="13"/>
      <c r="AG13" s="13"/>
      <c r="AH13" s="13"/>
      <c r="AI13" s="13"/>
      <c r="AJ13" s="13"/>
      <c r="AK13" s="15"/>
      <c r="AL13" s="16"/>
    </row>
    <row r="14" spans="2:38" ht="12.75" customHeight="1">
      <c r="B14" s="180">
        <f t="shared" si="1"/>
        <v>8</v>
      </c>
      <c r="C14" s="45" t="s">
        <v>0</v>
      </c>
      <c r="D14" s="153">
        <v>6727.7</v>
      </c>
      <c r="E14" s="203" t="e">
        <f>#REF!</f>
        <v>#REF!</v>
      </c>
      <c r="F14" s="196">
        <f>Эсбыт!F13</f>
        <v>376</v>
      </c>
      <c r="G14" s="203" t="e">
        <f>#REF!</f>
        <v>#REF!</v>
      </c>
      <c r="H14" s="196">
        <f>Эсбыт!H13</f>
        <v>681</v>
      </c>
      <c r="I14" s="203" t="e">
        <f>#REF!</f>
        <v>#REF!</v>
      </c>
      <c r="J14" s="85">
        <f>Эсбыт!J13</f>
        <v>623</v>
      </c>
      <c r="K14" s="54" t="e">
        <f>#REF!</f>
        <v>#REF!</v>
      </c>
      <c r="L14" s="93">
        <f>Эсбыт!L13</f>
        <v>649</v>
      </c>
      <c r="M14" s="216" t="e">
        <f>#REF!</f>
        <v>#REF!</v>
      </c>
      <c r="N14" s="92">
        <f>Эсбыт!N13</f>
        <v>569</v>
      </c>
      <c r="O14" s="54" t="e">
        <f>#REF!</f>
        <v>#REF!</v>
      </c>
      <c r="P14" s="95">
        <f>Эсбыт!P13</f>
        <v>701</v>
      </c>
      <c r="Q14" s="216" t="e">
        <f>#REF!</f>
        <v>#REF!</v>
      </c>
      <c r="R14" s="92">
        <f>Эсбыт!R13</f>
        <v>146</v>
      </c>
      <c r="S14" s="54" t="e">
        <f>#REF!</f>
        <v>#REF!</v>
      </c>
      <c r="T14" s="92">
        <f>Эсбыт!T13</f>
        <v>398</v>
      </c>
      <c r="U14" s="54"/>
      <c r="V14" s="61"/>
      <c r="W14" s="51"/>
      <c r="X14" s="67"/>
      <c r="Y14" s="47"/>
      <c r="Z14" s="37"/>
      <c r="AA14" s="47"/>
      <c r="AB14" s="37"/>
      <c r="AC14" s="31" t="e">
        <f t="shared" si="2"/>
        <v>#REF!</v>
      </c>
      <c r="AD14" s="30">
        <f t="shared" si="3"/>
        <v>4143</v>
      </c>
      <c r="AE14" s="31" t="e">
        <f t="shared" si="4"/>
        <v>#REF!</v>
      </c>
      <c r="AF14" s="13"/>
      <c r="AG14" s="13"/>
      <c r="AH14" s="13"/>
      <c r="AI14" s="13"/>
      <c r="AJ14" s="14"/>
      <c r="AK14" s="15"/>
      <c r="AL14" s="13"/>
    </row>
    <row r="15" spans="2:38" ht="12.75" customHeight="1">
      <c r="B15" s="180">
        <f t="shared" si="1"/>
        <v>9</v>
      </c>
      <c r="C15" s="45" t="s">
        <v>75</v>
      </c>
      <c r="D15" s="153">
        <v>4726.8</v>
      </c>
      <c r="E15" s="203" t="e">
        <f>#REF!</f>
        <v>#REF!</v>
      </c>
      <c r="F15" s="196">
        <f>Эсбыт!F14</f>
        <v>66</v>
      </c>
      <c r="G15" s="203" t="e">
        <f>#REF!</f>
        <v>#REF!</v>
      </c>
      <c r="H15" s="196">
        <f>Эсбыт!H14</f>
        <v>144</v>
      </c>
      <c r="I15" s="203" t="e">
        <f>#REF!</f>
        <v>#REF!</v>
      </c>
      <c r="J15" s="85">
        <f>Эсбыт!J14</f>
        <v>179</v>
      </c>
      <c r="K15" s="54" t="e">
        <f>#REF!</f>
        <v>#REF!</v>
      </c>
      <c r="L15" s="93">
        <f>Эсбыт!L14</f>
        <v>175</v>
      </c>
      <c r="M15" s="216" t="e">
        <f>#REF!</f>
        <v>#REF!</v>
      </c>
      <c r="N15" s="92">
        <f>Эсбыт!N14</f>
        <v>175</v>
      </c>
      <c r="O15" s="54" t="e">
        <f>#REF!</f>
        <v>#REF!</v>
      </c>
      <c r="P15" s="95">
        <f>Эсбыт!P14</f>
        <v>143</v>
      </c>
      <c r="Q15" s="216" t="e">
        <f>#REF!</f>
        <v>#REF!</v>
      </c>
      <c r="R15" s="92">
        <f>Эсбыт!R14</f>
        <v>74</v>
      </c>
      <c r="S15" s="54" t="e">
        <f>#REF!</f>
        <v>#REF!</v>
      </c>
      <c r="T15" s="92">
        <f>Эсбыт!T14</f>
        <v>145</v>
      </c>
      <c r="U15" s="54"/>
      <c r="V15" s="61"/>
      <c r="W15" s="51"/>
      <c r="X15" s="67"/>
      <c r="Y15" s="47"/>
      <c r="Z15" s="37"/>
      <c r="AA15" s="47"/>
      <c r="AB15" s="37"/>
      <c r="AC15" s="31" t="e">
        <f t="shared" si="2"/>
        <v>#REF!</v>
      </c>
      <c r="AD15" s="30">
        <f t="shared" si="3"/>
        <v>1101</v>
      </c>
      <c r="AE15" s="31" t="e">
        <f t="shared" si="4"/>
        <v>#REF!</v>
      </c>
      <c r="AF15" s="13"/>
      <c r="AG15" s="13"/>
      <c r="AH15" s="13"/>
      <c r="AI15" s="13"/>
      <c r="AJ15" s="14"/>
      <c r="AK15" s="15"/>
      <c r="AL15" s="13"/>
    </row>
    <row r="16" spans="2:38" ht="12.75" customHeight="1">
      <c r="B16" s="180">
        <f t="shared" si="1"/>
        <v>10</v>
      </c>
      <c r="C16" s="45" t="s">
        <v>76</v>
      </c>
      <c r="D16" s="153">
        <v>4730.4</v>
      </c>
      <c r="E16" s="203" t="e">
        <f>#REF!</f>
        <v>#REF!</v>
      </c>
      <c r="F16" s="196">
        <f>Эсбыт!F15</f>
        <v>212</v>
      </c>
      <c r="G16" s="203" t="e">
        <f>#REF!</f>
        <v>#REF!</v>
      </c>
      <c r="H16" s="196">
        <f>Эсбыт!H15</f>
        <v>401</v>
      </c>
      <c r="I16" s="203" t="e">
        <f>#REF!</f>
        <v>#REF!</v>
      </c>
      <c r="J16" s="85">
        <f>Эсбыт!J15</f>
        <v>479</v>
      </c>
      <c r="K16" s="54" t="e">
        <f>#REF!</f>
        <v>#REF!</v>
      </c>
      <c r="L16" s="93">
        <f>Эсбыт!L15</f>
        <v>397</v>
      </c>
      <c r="M16" s="216" t="e">
        <f>#REF!</f>
        <v>#REF!</v>
      </c>
      <c r="N16" s="92">
        <f>Эсбыт!N15</f>
        <v>346</v>
      </c>
      <c r="O16" s="54" t="e">
        <f>#REF!</f>
        <v>#REF!</v>
      </c>
      <c r="P16" s="95">
        <f>Эсбыт!P15</f>
        <v>307</v>
      </c>
      <c r="Q16" s="216" t="e">
        <f>#REF!</f>
        <v>#REF!</v>
      </c>
      <c r="R16" s="92">
        <f>Эсбыт!R15</f>
        <v>174</v>
      </c>
      <c r="S16" s="54" t="e">
        <f>#REF!</f>
        <v>#REF!</v>
      </c>
      <c r="T16" s="92">
        <f>Эсбыт!T15</f>
        <v>273</v>
      </c>
      <c r="U16" s="54"/>
      <c r="V16" s="61"/>
      <c r="W16" s="51"/>
      <c r="X16" s="67"/>
      <c r="Y16" s="47"/>
      <c r="Z16" s="37"/>
      <c r="AA16" s="47"/>
      <c r="AB16" s="37"/>
      <c r="AC16" s="31" t="e">
        <f t="shared" si="2"/>
        <v>#REF!</v>
      </c>
      <c r="AD16" s="30">
        <f t="shared" si="3"/>
        <v>2589</v>
      </c>
      <c r="AE16" s="31" t="e">
        <f t="shared" si="4"/>
        <v>#REF!</v>
      </c>
      <c r="AF16" s="13"/>
      <c r="AG16" s="13"/>
      <c r="AH16" s="13"/>
      <c r="AI16" s="13"/>
      <c r="AJ16" s="14"/>
      <c r="AK16" s="15"/>
      <c r="AL16" s="13"/>
    </row>
    <row r="17" spans="2:38" ht="12.75" customHeight="1">
      <c r="B17" s="180">
        <f t="shared" si="1"/>
        <v>11</v>
      </c>
      <c r="C17" s="45" t="s">
        <v>77</v>
      </c>
      <c r="D17" s="153">
        <v>4727.7</v>
      </c>
      <c r="E17" s="203" t="e">
        <f>#REF!</f>
        <v>#REF!</v>
      </c>
      <c r="F17" s="196">
        <f>Эсбыт!F16</f>
        <v>222</v>
      </c>
      <c r="G17" s="203" t="e">
        <f>#REF!</f>
        <v>#REF!</v>
      </c>
      <c r="H17" s="196">
        <f>Эсбыт!H16</f>
        <v>404</v>
      </c>
      <c r="I17" s="203" t="e">
        <f>#REF!</f>
        <v>#REF!</v>
      </c>
      <c r="J17" s="85">
        <f>Эсбыт!J16</f>
        <v>437</v>
      </c>
      <c r="K17" s="54" t="e">
        <f>#REF!</f>
        <v>#REF!</v>
      </c>
      <c r="L17" s="93">
        <f>Эсбыт!L16</f>
        <v>378</v>
      </c>
      <c r="M17" s="216" t="e">
        <f>#REF!</f>
        <v>#REF!</v>
      </c>
      <c r="N17" s="92">
        <f>Эсбыт!N16</f>
        <v>140</v>
      </c>
      <c r="O17" s="54" t="e">
        <f>#REF!</f>
        <v>#REF!</v>
      </c>
      <c r="P17" s="95">
        <f>Эсбыт!P16</f>
        <v>131</v>
      </c>
      <c r="Q17" s="216" t="e">
        <f>#REF!</f>
        <v>#REF!</v>
      </c>
      <c r="R17" s="92">
        <f>Эсбыт!R16</f>
        <v>61</v>
      </c>
      <c r="S17" s="54" t="e">
        <f>#REF!</f>
        <v>#REF!</v>
      </c>
      <c r="T17" s="92">
        <f>Эсбыт!T16</f>
        <v>120</v>
      </c>
      <c r="U17" s="54"/>
      <c r="V17" s="61"/>
      <c r="W17" s="51"/>
      <c r="X17" s="67"/>
      <c r="Y17" s="47"/>
      <c r="Z17" s="37"/>
      <c r="AA17" s="47"/>
      <c r="AB17" s="37"/>
      <c r="AC17" s="31" t="e">
        <f t="shared" si="2"/>
        <v>#REF!</v>
      </c>
      <c r="AD17" s="30">
        <f t="shared" si="3"/>
        <v>1893</v>
      </c>
      <c r="AE17" s="31" t="e">
        <f t="shared" si="4"/>
        <v>#REF!</v>
      </c>
      <c r="AF17" s="13"/>
      <c r="AG17" s="13"/>
      <c r="AH17" s="13"/>
      <c r="AI17" s="13"/>
      <c r="AJ17" s="14"/>
      <c r="AK17" s="15"/>
      <c r="AL17" s="13"/>
    </row>
    <row r="18" spans="2:38" ht="12.75" customHeight="1">
      <c r="B18" s="180">
        <f t="shared" si="1"/>
        <v>12</v>
      </c>
      <c r="C18" s="45" t="s">
        <v>72</v>
      </c>
      <c r="D18" s="153">
        <v>10656</v>
      </c>
      <c r="E18" s="203" t="e">
        <f>#REF!</f>
        <v>#REF!</v>
      </c>
      <c r="F18" s="196">
        <f>Эсбыт!F17</f>
        <v>611</v>
      </c>
      <c r="G18" s="203" t="e">
        <f>#REF!</f>
        <v>#REF!</v>
      </c>
      <c r="H18" s="196">
        <f>Эсбыт!H17</f>
        <v>1226</v>
      </c>
      <c r="I18" s="203" t="e">
        <f>#REF!</f>
        <v>#REF!</v>
      </c>
      <c r="J18" s="85">
        <f>Эсбыт!J17</f>
        <v>845</v>
      </c>
      <c r="K18" s="54" t="e">
        <f>#REF!</f>
        <v>#REF!</v>
      </c>
      <c r="L18" s="93">
        <f>Эсбыт!L17</f>
        <v>920</v>
      </c>
      <c r="M18" s="216" t="e">
        <f>#REF!</f>
        <v>#REF!</v>
      </c>
      <c r="N18" s="92">
        <f>Эсбыт!N17</f>
        <v>752</v>
      </c>
      <c r="O18" s="54" t="e">
        <f>#REF!</f>
        <v>#REF!</v>
      </c>
      <c r="P18" s="95">
        <f>Эсбыт!P17</f>
        <v>897</v>
      </c>
      <c r="Q18" s="216" t="e">
        <f>#REF!</f>
        <v>#REF!</v>
      </c>
      <c r="R18" s="92">
        <f>Эсбыт!R17</f>
        <v>461</v>
      </c>
      <c r="S18" s="54" t="e">
        <f>#REF!</f>
        <v>#REF!</v>
      </c>
      <c r="T18" s="92">
        <f>Эсбыт!T17</f>
        <v>619</v>
      </c>
      <c r="U18" s="54"/>
      <c r="V18" s="61"/>
      <c r="W18" s="51"/>
      <c r="X18" s="67"/>
      <c r="Y18" s="47"/>
      <c r="Z18" s="37"/>
      <c r="AA18" s="47"/>
      <c r="AB18" s="37"/>
      <c r="AC18" s="31" t="e">
        <f t="shared" si="2"/>
        <v>#REF!</v>
      </c>
      <c r="AD18" s="30">
        <f t="shared" si="3"/>
        <v>6331</v>
      </c>
      <c r="AE18" s="31" t="e">
        <f t="shared" si="4"/>
        <v>#REF!</v>
      </c>
      <c r="AF18" s="13"/>
      <c r="AG18" s="13"/>
      <c r="AH18" s="13"/>
      <c r="AI18" s="13"/>
      <c r="AJ18" s="14"/>
      <c r="AK18" s="15"/>
      <c r="AL18" s="13"/>
    </row>
    <row r="19" spans="2:38" ht="12.75" customHeight="1">
      <c r="B19" s="180">
        <f t="shared" si="1"/>
        <v>13</v>
      </c>
      <c r="C19" s="45" t="s">
        <v>59</v>
      </c>
      <c r="D19" s="153">
        <v>3545.7</v>
      </c>
      <c r="E19" s="203" t="e">
        <f>#REF!</f>
        <v>#REF!</v>
      </c>
      <c r="F19" s="196">
        <f>Эсбыт!F18</f>
        <v>229</v>
      </c>
      <c r="G19" s="203" t="e">
        <f>#REF!</f>
        <v>#REF!</v>
      </c>
      <c r="H19" s="196">
        <f>Эсбыт!H18</f>
        <v>379</v>
      </c>
      <c r="I19" s="203" t="e">
        <f>#REF!</f>
        <v>#REF!</v>
      </c>
      <c r="J19" s="85">
        <f>Эсбыт!J18</f>
        <v>338</v>
      </c>
      <c r="K19" s="54" t="e">
        <f>#REF!</f>
        <v>#REF!</v>
      </c>
      <c r="L19" s="93">
        <f>Эсбыт!L18</f>
        <v>366</v>
      </c>
      <c r="M19" s="216" t="e">
        <f>#REF!</f>
        <v>#REF!</v>
      </c>
      <c r="N19" s="92">
        <f>Эсбыт!N18</f>
        <v>295</v>
      </c>
      <c r="O19" s="54" t="e">
        <f>#REF!</f>
        <v>#REF!</v>
      </c>
      <c r="P19" s="95">
        <f>Эсбыт!P18</f>
        <v>341</v>
      </c>
      <c r="Q19" s="216" t="e">
        <f>#REF!</f>
        <v>#REF!</v>
      </c>
      <c r="R19" s="92">
        <f>Эсбыт!R18</f>
        <v>193</v>
      </c>
      <c r="S19" s="54" t="e">
        <f>#REF!</f>
        <v>#REF!</v>
      </c>
      <c r="T19" s="92">
        <f>Эсбыт!T18</f>
        <v>263</v>
      </c>
      <c r="U19" s="47"/>
      <c r="V19" s="60"/>
      <c r="W19" s="49"/>
      <c r="X19" s="67"/>
      <c r="Y19" s="47"/>
      <c r="Z19" s="36"/>
      <c r="AA19" s="47"/>
      <c r="AB19" s="36"/>
      <c r="AC19" s="31" t="e">
        <f t="shared" si="2"/>
        <v>#REF!</v>
      </c>
      <c r="AD19" s="30">
        <f t="shared" si="3"/>
        <v>2404</v>
      </c>
      <c r="AE19" s="31" t="e">
        <f t="shared" si="4"/>
        <v>#REF!</v>
      </c>
      <c r="AF19" s="13"/>
      <c r="AG19" s="13"/>
      <c r="AH19" s="13"/>
      <c r="AI19" s="13"/>
      <c r="AJ19" s="13"/>
      <c r="AK19" s="15"/>
      <c r="AL19" s="16"/>
    </row>
    <row r="20" spans="2:38" ht="12.75" customHeight="1">
      <c r="B20" s="180">
        <f t="shared" si="1"/>
        <v>14</v>
      </c>
      <c r="C20" s="45" t="s">
        <v>60</v>
      </c>
      <c r="D20" s="153">
        <v>3547.1</v>
      </c>
      <c r="E20" s="203" t="e">
        <f>#REF!</f>
        <v>#REF!</v>
      </c>
      <c r="F20" s="196">
        <f>Эсбыт!F19</f>
        <v>120</v>
      </c>
      <c r="G20" s="203" t="e">
        <f>#REF!</f>
        <v>#REF!</v>
      </c>
      <c r="H20" s="196">
        <f>Эсбыт!H19</f>
        <v>299</v>
      </c>
      <c r="I20" s="203" t="e">
        <f>#REF!</f>
        <v>#REF!</v>
      </c>
      <c r="J20" s="85">
        <f>Эсбыт!J19</f>
        <v>281</v>
      </c>
      <c r="K20" s="54" t="e">
        <f>#REF!</f>
        <v>#REF!</v>
      </c>
      <c r="L20" s="93">
        <f>Эсбыт!L19</f>
        <v>273</v>
      </c>
      <c r="M20" s="216" t="e">
        <f>#REF!</f>
        <v>#REF!</v>
      </c>
      <c r="N20" s="92">
        <f>Эсбыт!N19</f>
        <v>251</v>
      </c>
      <c r="O20" s="54" t="e">
        <f>#REF!</f>
        <v>#REF!</v>
      </c>
      <c r="P20" s="95">
        <f>Эсбыт!P19</f>
        <v>323</v>
      </c>
      <c r="Q20" s="216" t="e">
        <f>#REF!</f>
        <v>#REF!</v>
      </c>
      <c r="R20" s="92">
        <f>Эсбыт!R19</f>
        <v>174</v>
      </c>
      <c r="S20" s="54" t="e">
        <f>#REF!</f>
        <v>#REF!</v>
      </c>
      <c r="T20" s="92">
        <f>Эсбыт!T19</f>
        <v>241</v>
      </c>
      <c r="U20" s="47"/>
      <c r="V20" s="60"/>
      <c r="W20" s="49"/>
      <c r="X20" s="67"/>
      <c r="Y20" s="47"/>
      <c r="Z20" s="36"/>
      <c r="AA20" s="47"/>
      <c r="AB20" s="36"/>
      <c r="AC20" s="31" t="e">
        <f t="shared" si="2"/>
        <v>#REF!</v>
      </c>
      <c r="AD20" s="30">
        <f t="shared" si="3"/>
        <v>1962</v>
      </c>
      <c r="AE20" s="31" t="e">
        <f t="shared" si="4"/>
        <v>#REF!</v>
      </c>
      <c r="AF20" s="13"/>
      <c r="AG20" s="13"/>
      <c r="AH20" s="13"/>
      <c r="AI20" s="13"/>
      <c r="AJ20" s="13"/>
      <c r="AK20" s="15"/>
      <c r="AL20" s="16"/>
    </row>
    <row r="21" spans="2:38" ht="12.75" customHeight="1">
      <c r="B21" s="180">
        <f t="shared" si="1"/>
        <v>15</v>
      </c>
      <c r="C21" s="185" t="s">
        <v>64</v>
      </c>
      <c r="D21" s="153">
        <v>3524.6</v>
      </c>
      <c r="E21" s="204" t="e">
        <f>#REF!</f>
        <v>#REF!</v>
      </c>
      <c r="F21" s="197">
        <f>Эсбыт!F20</f>
        <v>178</v>
      </c>
      <c r="G21" s="204" t="e">
        <f>#REF!</f>
        <v>#REF!</v>
      </c>
      <c r="H21" s="197">
        <f>Эсбыт!H20</f>
        <v>294</v>
      </c>
      <c r="I21" s="204" t="e">
        <f>#REF!</f>
        <v>#REF!</v>
      </c>
      <c r="J21" s="123">
        <f>Эсбыт!J20</f>
        <v>271</v>
      </c>
      <c r="K21" s="134" t="e">
        <f>#REF!</f>
        <v>#REF!</v>
      </c>
      <c r="L21" s="124">
        <f>Эсбыт!L20</f>
        <v>335</v>
      </c>
      <c r="M21" s="134" t="e">
        <f>#REF!</f>
        <v>#REF!</v>
      </c>
      <c r="N21" s="126">
        <f>Эсбыт!N20</f>
        <v>280</v>
      </c>
      <c r="O21" s="134" t="e">
        <f>#REF!</f>
        <v>#REF!</v>
      </c>
      <c r="P21" s="125">
        <f>Эсбыт!P20</f>
        <v>261</v>
      </c>
      <c r="Q21" s="134" t="e">
        <f>#REF!</f>
        <v>#REF!</v>
      </c>
      <c r="R21" s="126">
        <f>Эсбыт!R20</f>
        <v>168</v>
      </c>
      <c r="S21" s="134" t="e">
        <f>#REF!</f>
        <v>#REF!</v>
      </c>
      <c r="T21" s="126">
        <f>Эсбыт!T20</f>
        <v>226</v>
      </c>
      <c r="U21" s="128"/>
      <c r="V21" s="129"/>
      <c r="W21" s="130"/>
      <c r="X21" s="127"/>
      <c r="Y21" s="128"/>
      <c r="Z21" s="131"/>
      <c r="AA21" s="128"/>
      <c r="AB21" s="131"/>
      <c r="AC21" s="132" t="e">
        <f t="shared" si="2"/>
        <v>#REF!</v>
      </c>
      <c r="AD21" s="133">
        <f t="shared" si="3"/>
        <v>2013</v>
      </c>
      <c r="AE21" s="132" t="e">
        <f t="shared" si="4"/>
        <v>#REF!</v>
      </c>
      <c r="AF21" s="13"/>
      <c r="AG21" s="13"/>
      <c r="AH21" s="13"/>
      <c r="AI21" s="13"/>
      <c r="AJ21" s="13"/>
      <c r="AK21" s="15"/>
      <c r="AL21" s="16"/>
    </row>
    <row r="22" spans="2:38" ht="12.75" customHeight="1">
      <c r="B22" s="180">
        <f t="shared" si="1"/>
        <v>16</v>
      </c>
      <c r="C22" s="45" t="s">
        <v>74</v>
      </c>
      <c r="D22" s="153">
        <v>16614.4</v>
      </c>
      <c r="E22" s="203" t="e">
        <f>#REF!</f>
        <v>#REF!</v>
      </c>
      <c r="F22" s="196">
        <f>Эсбыт!F21</f>
        <v>644</v>
      </c>
      <c r="G22" s="203" t="e">
        <f>#REF!</f>
        <v>#REF!</v>
      </c>
      <c r="H22" s="196">
        <f>Эсбыт!H21</f>
        <v>1075</v>
      </c>
      <c r="I22" s="203" t="e">
        <f>#REF!</f>
        <v>#REF!</v>
      </c>
      <c r="J22" s="85">
        <f>Эсбыт!J21</f>
        <v>896</v>
      </c>
      <c r="K22" s="54" t="e">
        <f>#REF!</f>
        <v>#REF!</v>
      </c>
      <c r="L22" s="93">
        <f>Эсбыт!L21</f>
        <v>1060</v>
      </c>
      <c r="M22" s="216" t="e">
        <f>#REF!</f>
        <v>#REF!</v>
      </c>
      <c r="N22" s="92">
        <f>Эсбыт!N21</f>
        <v>783</v>
      </c>
      <c r="O22" s="54" t="e">
        <f>#REF!</f>
        <v>#REF!</v>
      </c>
      <c r="P22" s="95">
        <f>Эсбыт!P21</f>
        <v>973</v>
      </c>
      <c r="Q22" s="216" t="e">
        <f>#REF!</f>
        <v>#REF!</v>
      </c>
      <c r="R22" s="92">
        <f>Эсбыт!R21</f>
        <v>503</v>
      </c>
      <c r="S22" s="54" t="e">
        <f>#REF!</f>
        <v>#REF!</v>
      </c>
      <c r="T22" s="92">
        <f>Эсбыт!T21</f>
        <v>613</v>
      </c>
      <c r="U22" s="47"/>
      <c r="V22" s="60"/>
      <c r="W22" s="51"/>
      <c r="X22" s="66"/>
      <c r="Y22" s="47"/>
      <c r="Z22" s="36"/>
      <c r="AA22" s="47"/>
      <c r="AB22" s="36"/>
      <c r="AC22" s="31" t="e">
        <f t="shared" si="2"/>
        <v>#REF!</v>
      </c>
      <c r="AD22" s="30">
        <f t="shared" si="3"/>
        <v>6547</v>
      </c>
      <c r="AE22" s="31" t="e">
        <f t="shared" si="4"/>
        <v>#REF!</v>
      </c>
      <c r="AF22" s="13"/>
      <c r="AG22" s="13"/>
      <c r="AH22" s="13"/>
      <c r="AI22" s="13"/>
      <c r="AJ22" s="13"/>
      <c r="AK22" s="15"/>
      <c r="AL22" s="16"/>
    </row>
    <row r="23" spans="2:38" ht="12.75" customHeight="1">
      <c r="B23" s="180">
        <f t="shared" si="1"/>
        <v>17</v>
      </c>
      <c r="C23" s="45" t="s">
        <v>65</v>
      </c>
      <c r="D23" s="153">
        <v>14948.6</v>
      </c>
      <c r="E23" s="203" t="e">
        <f>#REF!</f>
        <v>#REF!</v>
      </c>
      <c r="F23" s="196">
        <f>Эсбыт!F22</f>
        <v>730</v>
      </c>
      <c r="G23" s="203" t="e">
        <f>#REF!</f>
        <v>#REF!</v>
      </c>
      <c r="H23" s="196">
        <f>Эсбыт!H22</f>
        <v>1229</v>
      </c>
      <c r="I23" s="203" t="e">
        <f>#REF!</f>
        <v>#REF!</v>
      </c>
      <c r="J23" s="85">
        <f>Эсбыт!J22</f>
        <v>1117</v>
      </c>
      <c r="K23" s="54" t="e">
        <f>#REF!</f>
        <v>#REF!</v>
      </c>
      <c r="L23" s="93">
        <f>Эсбыт!L22</f>
        <v>1223</v>
      </c>
      <c r="M23" s="216" t="e">
        <f>#REF!</f>
        <v>#REF!</v>
      </c>
      <c r="N23" s="92">
        <f>Эсбыт!N22</f>
        <v>916</v>
      </c>
      <c r="O23" s="54" t="e">
        <f>#REF!</f>
        <v>#REF!</v>
      </c>
      <c r="P23" s="95">
        <f>Эсбыт!P22</f>
        <v>1137</v>
      </c>
      <c r="Q23" s="216" t="e">
        <f>#REF!</f>
        <v>#REF!</v>
      </c>
      <c r="R23" s="92">
        <f>Эсбыт!R22</f>
        <v>603</v>
      </c>
      <c r="S23" s="54" t="e">
        <f>#REF!</f>
        <v>#REF!</v>
      </c>
      <c r="T23" s="92">
        <f>Эсбыт!T22</f>
        <v>777</v>
      </c>
      <c r="U23" s="54"/>
      <c r="V23" s="63"/>
      <c r="W23" s="51"/>
      <c r="X23" s="66"/>
      <c r="Y23" s="47"/>
      <c r="Z23" s="36"/>
      <c r="AA23" s="47"/>
      <c r="AB23" s="36"/>
      <c r="AC23" s="31" t="e">
        <f t="shared" si="2"/>
        <v>#REF!</v>
      </c>
      <c r="AD23" s="30">
        <f t="shared" si="3"/>
        <v>7732</v>
      </c>
      <c r="AE23" s="31" t="e">
        <f t="shared" si="4"/>
        <v>#REF!</v>
      </c>
      <c r="AF23" s="13"/>
      <c r="AG23" s="13"/>
      <c r="AH23" s="13"/>
      <c r="AI23" s="13"/>
      <c r="AJ23" s="13"/>
      <c r="AK23" s="15"/>
      <c r="AL23" s="13"/>
    </row>
    <row r="24" spans="2:38" ht="12.75" customHeight="1">
      <c r="B24" s="180">
        <f t="shared" si="1"/>
        <v>18</v>
      </c>
      <c r="C24" s="74" t="s">
        <v>88</v>
      </c>
      <c r="D24" s="151">
        <v>8832.7</v>
      </c>
      <c r="E24" s="203"/>
      <c r="F24" s="196"/>
      <c r="G24" s="203"/>
      <c r="H24" s="196"/>
      <c r="I24" s="203" t="e">
        <f>#REF!</f>
        <v>#REF!</v>
      </c>
      <c r="J24" s="85"/>
      <c r="K24" s="54" t="e">
        <f>#REF!</f>
        <v>#REF!</v>
      </c>
      <c r="L24" s="93">
        <f>Эсбыт!L23</f>
        <v>15</v>
      </c>
      <c r="M24" s="216" t="e">
        <f>#REF!</f>
        <v>#REF!</v>
      </c>
      <c r="N24" s="92">
        <f>Эсбыт!N23</f>
        <v>27</v>
      </c>
      <c r="O24" s="54" t="e">
        <f>#REF!</f>
        <v>#REF!</v>
      </c>
      <c r="P24" s="95">
        <f>Эсбыт!P23</f>
        <v>166</v>
      </c>
      <c r="Q24" s="216" t="e">
        <f>#REF!</f>
        <v>#REF!</v>
      </c>
      <c r="R24" s="92">
        <f>Эсбыт!R23</f>
        <v>109</v>
      </c>
      <c r="S24" s="54" t="e">
        <f>#REF!</f>
        <v>#REF!</v>
      </c>
      <c r="T24" s="92">
        <f>Эсбыт!T23</f>
        <v>163</v>
      </c>
      <c r="U24" s="54"/>
      <c r="V24" s="63"/>
      <c r="W24" s="51"/>
      <c r="X24" s="66"/>
      <c r="Y24" s="47"/>
      <c r="Z24" s="36"/>
      <c r="AA24" s="47"/>
      <c r="AB24" s="36"/>
      <c r="AC24" s="31" t="e">
        <f t="shared" si="2"/>
        <v>#REF!</v>
      </c>
      <c r="AD24" s="30">
        <f t="shared" si="3"/>
        <v>480</v>
      </c>
      <c r="AE24" s="31" t="e">
        <f t="shared" si="4"/>
        <v>#REF!</v>
      </c>
      <c r="AF24" s="13"/>
      <c r="AG24" s="13"/>
      <c r="AH24" s="13"/>
      <c r="AI24" s="13"/>
      <c r="AJ24" s="13"/>
      <c r="AK24" s="15"/>
      <c r="AL24" s="13"/>
    </row>
    <row r="25" spans="2:38" ht="12.75" customHeight="1">
      <c r="B25" s="180">
        <f t="shared" si="1"/>
        <v>19</v>
      </c>
      <c r="C25" s="45" t="s">
        <v>57</v>
      </c>
      <c r="D25" s="153">
        <v>19523.1</v>
      </c>
      <c r="E25" s="203" t="e">
        <f>#REF!</f>
        <v>#REF!</v>
      </c>
      <c r="F25" s="196">
        <f>Эсбыт!F24</f>
        <v>949</v>
      </c>
      <c r="G25" s="203" t="e">
        <f>#REF!</f>
        <v>#REF!</v>
      </c>
      <c r="H25" s="196">
        <f>Эсбыт!H24</f>
        <v>1617</v>
      </c>
      <c r="I25" s="203" t="e">
        <f>#REF!</f>
        <v>#REF!</v>
      </c>
      <c r="J25" s="85">
        <f>Эсбыт!J24</f>
        <v>1504</v>
      </c>
      <c r="K25" s="54" t="e">
        <f>#REF!</f>
        <v>#REF!</v>
      </c>
      <c r="L25" s="93">
        <f>Эсбыт!L24</f>
        <v>1540</v>
      </c>
      <c r="M25" s="216" t="e">
        <f>#REF!</f>
        <v>#REF!</v>
      </c>
      <c r="N25" s="92">
        <f>Эсбыт!N24</f>
        <v>1240</v>
      </c>
      <c r="O25" s="54" t="e">
        <f>#REF!</f>
        <v>#REF!</v>
      </c>
      <c r="P25" s="95">
        <f>Эсбыт!P24</f>
        <v>1396</v>
      </c>
      <c r="Q25" s="216" t="e">
        <f>#REF!</f>
        <v>#REF!</v>
      </c>
      <c r="R25" s="92">
        <f>Эсбыт!R24</f>
        <v>734</v>
      </c>
      <c r="S25" s="54" t="e">
        <f>#REF!</f>
        <v>#REF!</v>
      </c>
      <c r="T25" s="92">
        <f>Эсбыт!T24</f>
        <v>804</v>
      </c>
      <c r="U25" s="54"/>
      <c r="V25" s="63"/>
      <c r="W25" s="51"/>
      <c r="X25" s="66"/>
      <c r="Y25" s="47"/>
      <c r="Z25" s="36"/>
      <c r="AA25" s="47"/>
      <c r="AB25" s="36"/>
      <c r="AC25" s="31" t="e">
        <f t="shared" si="2"/>
        <v>#REF!</v>
      </c>
      <c r="AD25" s="30">
        <f t="shared" si="3"/>
        <v>9784</v>
      </c>
      <c r="AE25" s="31" t="e">
        <f t="shared" si="4"/>
        <v>#REF!</v>
      </c>
      <c r="AF25" s="13"/>
      <c r="AG25" s="13"/>
      <c r="AH25" s="13"/>
      <c r="AI25" s="13"/>
      <c r="AJ25" s="13"/>
      <c r="AK25" s="15"/>
      <c r="AL25" s="13"/>
    </row>
    <row r="26" spans="2:42" s="22" customFormat="1" ht="12.75" customHeight="1">
      <c r="B26" s="180">
        <f t="shared" si="1"/>
        <v>20</v>
      </c>
      <c r="C26" s="186" t="s">
        <v>63</v>
      </c>
      <c r="D26" s="153">
        <v>18481.1</v>
      </c>
      <c r="E26" s="205" t="e">
        <f>#REF!</f>
        <v>#REF!</v>
      </c>
      <c r="F26" s="198">
        <f>Эсбыт!F25</f>
        <v>666</v>
      </c>
      <c r="G26" s="205" t="e">
        <f>#REF!</f>
        <v>#REF!</v>
      </c>
      <c r="H26" s="198">
        <f>Эсбыт!H25</f>
        <v>1343</v>
      </c>
      <c r="I26" s="205" t="e">
        <f>#REF!</f>
        <v>#REF!</v>
      </c>
      <c r="J26" s="94">
        <f>Эсбыт!J25</f>
        <v>1206</v>
      </c>
      <c r="K26" s="55" t="e">
        <f>#REF!</f>
        <v>#REF!</v>
      </c>
      <c r="L26" s="116">
        <f>Эсбыт!L25</f>
        <v>1335</v>
      </c>
      <c r="M26" s="55" t="e">
        <f>#REF!</f>
        <v>#REF!</v>
      </c>
      <c r="N26" s="146">
        <f>Эсбыт!N25</f>
        <v>1094</v>
      </c>
      <c r="O26" s="55" t="e">
        <f>#REF!</f>
        <v>#REF!</v>
      </c>
      <c r="P26" s="117">
        <f>Эсбыт!P25</f>
        <v>1184</v>
      </c>
      <c r="Q26" s="55" t="e">
        <f>#REF!</f>
        <v>#REF!</v>
      </c>
      <c r="R26" s="146">
        <f>Эсбыт!R25</f>
        <v>615</v>
      </c>
      <c r="S26" s="55" t="e">
        <f>#REF!</f>
        <v>#REF!</v>
      </c>
      <c r="T26" s="146">
        <f>Эсбыт!T25</f>
        <v>846</v>
      </c>
      <c r="U26" s="55"/>
      <c r="V26" s="63"/>
      <c r="W26" s="51"/>
      <c r="X26" s="68"/>
      <c r="Y26" s="57"/>
      <c r="Z26" s="38"/>
      <c r="AA26" s="57"/>
      <c r="AB26" s="38"/>
      <c r="AC26" s="118" t="e">
        <f t="shared" si="2"/>
        <v>#REF!</v>
      </c>
      <c r="AD26" s="119">
        <f t="shared" si="3"/>
        <v>8289</v>
      </c>
      <c r="AE26" s="118" t="e">
        <f t="shared" si="4"/>
        <v>#REF!</v>
      </c>
      <c r="AF26" s="20"/>
      <c r="AG26" s="20"/>
      <c r="AH26" s="20"/>
      <c r="AI26" s="20"/>
      <c r="AJ26" s="20"/>
      <c r="AK26" s="21"/>
      <c r="AL26" s="20"/>
      <c r="AP26" s="23"/>
    </row>
    <row r="27" spans="2:42" s="22" customFormat="1" ht="12.75" customHeight="1">
      <c r="B27" s="180">
        <f t="shared" si="1"/>
        <v>21</v>
      </c>
      <c r="C27" s="45" t="s">
        <v>55</v>
      </c>
      <c r="D27" s="153">
        <v>18464.4</v>
      </c>
      <c r="E27" s="203" t="e">
        <f>#REF!</f>
        <v>#REF!</v>
      </c>
      <c r="F27" s="196">
        <f>Эсбыт!F26</f>
        <v>951</v>
      </c>
      <c r="G27" s="203" t="e">
        <f>#REF!</f>
        <v>#REF!</v>
      </c>
      <c r="H27" s="196">
        <f>Эсбыт!H26</f>
        <v>1566</v>
      </c>
      <c r="I27" s="203" t="e">
        <f>#REF!</f>
        <v>#REF!</v>
      </c>
      <c r="J27" s="85">
        <f>Эсбыт!J26</f>
        <v>1398</v>
      </c>
      <c r="K27" s="54" t="e">
        <f>#REF!</f>
        <v>#REF!</v>
      </c>
      <c r="L27" s="93">
        <f>Эсбыт!L26</f>
        <v>1505</v>
      </c>
      <c r="M27" s="216" t="e">
        <f>#REF!</f>
        <v>#REF!</v>
      </c>
      <c r="N27" s="92">
        <f>Эсбыт!N26</f>
        <v>1167</v>
      </c>
      <c r="O27" s="54" t="e">
        <f>#REF!</f>
        <v>#REF!</v>
      </c>
      <c r="P27" s="95">
        <f>Эсбыт!P26</f>
        <v>1504</v>
      </c>
      <c r="Q27" s="216" t="e">
        <f>#REF!</f>
        <v>#REF!</v>
      </c>
      <c r="R27" s="92">
        <f>Эсбыт!R26</f>
        <v>816</v>
      </c>
      <c r="S27" s="54" t="e">
        <f>#REF!</f>
        <v>#REF!</v>
      </c>
      <c r="T27" s="92">
        <f>Эсбыт!T26</f>
        <v>1071</v>
      </c>
      <c r="U27" s="54"/>
      <c r="V27" s="63"/>
      <c r="W27" s="51"/>
      <c r="X27" s="68"/>
      <c r="Y27" s="57"/>
      <c r="Z27" s="38"/>
      <c r="AA27" s="57"/>
      <c r="AB27" s="38"/>
      <c r="AC27" s="31" t="e">
        <f t="shared" si="2"/>
        <v>#REF!</v>
      </c>
      <c r="AD27" s="30">
        <f t="shared" si="3"/>
        <v>9978</v>
      </c>
      <c r="AE27" s="31" t="e">
        <f t="shared" si="4"/>
        <v>#REF!</v>
      </c>
      <c r="AF27" s="20"/>
      <c r="AG27" s="20"/>
      <c r="AH27" s="20"/>
      <c r="AI27" s="20"/>
      <c r="AJ27" s="20"/>
      <c r="AK27" s="21"/>
      <c r="AL27" s="20"/>
      <c r="AP27" s="23"/>
    </row>
    <row r="28" spans="2:38" ht="12.75" customHeight="1">
      <c r="B28" s="180">
        <f t="shared" si="1"/>
        <v>22</v>
      </c>
      <c r="C28" s="45" t="s">
        <v>52</v>
      </c>
      <c r="D28" s="153">
        <v>30266.3</v>
      </c>
      <c r="E28" s="203" t="e">
        <f>#REF!</f>
        <v>#REF!</v>
      </c>
      <c r="F28" s="196">
        <f>Эсбыт!F27</f>
        <v>1201</v>
      </c>
      <c r="G28" s="203" t="e">
        <f>#REF!</f>
        <v>#REF!</v>
      </c>
      <c r="H28" s="196">
        <f>Эсбыт!H27</f>
        <v>2391</v>
      </c>
      <c r="I28" s="203" t="e">
        <f>#REF!</f>
        <v>#REF!</v>
      </c>
      <c r="J28" s="85">
        <f>Эсбыт!J27</f>
        <v>2033</v>
      </c>
      <c r="K28" s="54" t="e">
        <f>#REF!</f>
        <v>#REF!</v>
      </c>
      <c r="L28" s="93">
        <f>Эсбыт!L27</f>
        <v>2188</v>
      </c>
      <c r="M28" s="216" t="e">
        <f>#REF!</f>
        <v>#REF!</v>
      </c>
      <c r="N28" s="92">
        <f>Эсбыт!N27</f>
        <v>1792</v>
      </c>
      <c r="O28" s="54" t="e">
        <f>#REF!</f>
        <v>#REF!</v>
      </c>
      <c r="P28" s="95">
        <f>Эсбыт!P27</f>
        <v>2135</v>
      </c>
      <c r="Q28" s="216" t="e">
        <f>#REF!</f>
        <v>#REF!</v>
      </c>
      <c r="R28" s="92">
        <f>Эсбыт!R27</f>
        <v>1044</v>
      </c>
      <c r="S28" s="54" t="e">
        <f>#REF!</f>
        <v>#REF!</v>
      </c>
      <c r="T28" s="92">
        <f>Эсбыт!T27</f>
        <v>1422</v>
      </c>
      <c r="U28" s="54"/>
      <c r="V28" s="60"/>
      <c r="W28" s="51"/>
      <c r="X28" s="66"/>
      <c r="Y28" s="47"/>
      <c r="Z28" s="38"/>
      <c r="AA28" s="47"/>
      <c r="AB28" s="38"/>
      <c r="AC28" s="31" t="e">
        <f t="shared" si="2"/>
        <v>#REF!</v>
      </c>
      <c r="AD28" s="30">
        <f t="shared" si="3"/>
        <v>14206</v>
      </c>
      <c r="AE28" s="31" t="e">
        <f t="shared" si="4"/>
        <v>#REF!</v>
      </c>
      <c r="AF28" s="13"/>
      <c r="AG28" s="13"/>
      <c r="AH28" s="13"/>
      <c r="AI28" s="13"/>
      <c r="AJ28" s="13"/>
      <c r="AK28" s="15"/>
      <c r="AL28" s="16"/>
    </row>
    <row r="29" spans="2:41" ht="12.75" customHeight="1">
      <c r="B29" s="180">
        <f t="shared" si="1"/>
        <v>23</v>
      </c>
      <c r="C29" s="44" t="s">
        <v>58</v>
      </c>
      <c r="D29" s="153">
        <v>24146</v>
      </c>
      <c r="E29" s="203" t="e">
        <f>#REF!</f>
        <v>#REF!</v>
      </c>
      <c r="F29" s="196">
        <f>Эсбыт!F28</f>
        <v>690</v>
      </c>
      <c r="G29" s="203" t="e">
        <f>#REF!</f>
        <v>#REF!</v>
      </c>
      <c r="H29" s="196">
        <f>Эсбыт!H28</f>
        <v>1813</v>
      </c>
      <c r="I29" s="203" t="e">
        <f>#REF!</f>
        <v>#REF!</v>
      </c>
      <c r="J29" s="85">
        <f>Эсбыт!J28</f>
        <v>1731</v>
      </c>
      <c r="K29" s="54" t="e">
        <f>#REF!</f>
        <v>#REF!</v>
      </c>
      <c r="L29" s="93">
        <f>Эсбыт!L28</f>
        <v>1817</v>
      </c>
      <c r="M29" s="216" t="e">
        <f>#REF!</f>
        <v>#REF!</v>
      </c>
      <c r="N29" s="92">
        <f>Эсбыт!N28</f>
        <v>1407</v>
      </c>
      <c r="O29" s="54" t="e">
        <f>#REF!</f>
        <v>#REF!</v>
      </c>
      <c r="P29" s="95">
        <f>Эсбыт!P28</f>
        <v>1633</v>
      </c>
      <c r="Q29" s="216" t="e">
        <f>#REF!</f>
        <v>#REF!</v>
      </c>
      <c r="R29" s="92">
        <f>Эсбыт!R28</f>
        <v>880</v>
      </c>
      <c r="S29" s="54" t="e">
        <f>#REF!</f>
        <v>#REF!</v>
      </c>
      <c r="T29" s="92">
        <f>Эсбыт!T28</f>
        <v>1246</v>
      </c>
      <c r="U29" s="54"/>
      <c r="V29" s="60"/>
      <c r="W29" s="51"/>
      <c r="X29" s="66"/>
      <c r="Y29" s="47"/>
      <c r="Z29" s="38"/>
      <c r="AA29" s="47"/>
      <c r="AB29" s="38"/>
      <c r="AC29" s="31" t="e">
        <f t="shared" si="2"/>
        <v>#REF!</v>
      </c>
      <c r="AD29" s="30">
        <f t="shared" si="3"/>
        <v>11217</v>
      </c>
      <c r="AE29" s="31" t="e">
        <f t="shared" si="4"/>
        <v>#REF!</v>
      </c>
      <c r="AF29" s="13"/>
      <c r="AG29" s="13"/>
      <c r="AH29" s="13"/>
      <c r="AI29" s="13"/>
      <c r="AJ29" s="13"/>
      <c r="AK29" s="15"/>
      <c r="AL29" s="13"/>
      <c r="AO29" s="1"/>
    </row>
    <row r="30" spans="2:38" ht="12.75" customHeight="1">
      <c r="B30" s="180">
        <f t="shared" si="1"/>
        <v>24</v>
      </c>
      <c r="C30" s="186" t="s">
        <v>61</v>
      </c>
      <c r="D30" s="153">
        <v>20258.6</v>
      </c>
      <c r="E30" s="205" t="e">
        <f>#REF!</f>
        <v>#REF!</v>
      </c>
      <c r="F30" s="198">
        <f>Эсбыт!F29</f>
        <v>1015</v>
      </c>
      <c r="G30" s="205" t="e">
        <f>#REF!</f>
        <v>#REF!</v>
      </c>
      <c r="H30" s="198">
        <f>Эсбыт!H29</f>
        <v>1717</v>
      </c>
      <c r="I30" s="205" t="e">
        <f>#REF!</f>
        <v>#REF!</v>
      </c>
      <c r="J30" s="94">
        <f>Эсбыт!J29</f>
        <v>1576</v>
      </c>
      <c r="K30" s="55" t="e">
        <f>#REF!</f>
        <v>#REF!</v>
      </c>
      <c r="L30" s="116">
        <f>Эсбыт!L29</f>
        <v>1730</v>
      </c>
      <c r="M30" s="55" t="e">
        <f>#REF!</f>
        <v>#REF!</v>
      </c>
      <c r="N30" s="146">
        <f>Эсбыт!N29</f>
        <v>1254</v>
      </c>
      <c r="O30" s="55" t="e">
        <f>#REF!</f>
        <v>#REF!</v>
      </c>
      <c r="P30" s="117">
        <f>Эсбыт!P29</f>
        <v>1605</v>
      </c>
      <c r="Q30" s="216" t="e">
        <f>#REF!</f>
        <v>#REF!</v>
      </c>
      <c r="R30" s="92">
        <f>Эсбыт!R29</f>
        <v>782</v>
      </c>
      <c r="S30" s="54" t="e">
        <f>#REF!</f>
        <v>#REF!</v>
      </c>
      <c r="T30" s="92">
        <f>Эсбыт!T29</f>
        <v>1019</v>
      </c>
      <c r="U30" s="55"/>
      <c r="V30" s="63"/>
      <c r="W30" s="51"/>
      <c r="X30" s="68"/>
      <c r="Y30" s="57"/>
      <c r="Z30" s="38"/>
      <c r="AA30" s="57"/>
      <c r="AB30" s="38"/>
      <c r="AC30" s="118" t="e">
        <f t="shared" si="2"/>
        <v>#REF!</v>
      </c>
      <c r="AD30" s="119">
        <f t="shared" si="3"/>
        <v>10698</v>
      </c>
      <c r="AE30" s="118" t="e">
        <f t="shared" si="4"/>
        <v>#REF!</v>
      </c>
      <c r="AF30" s="13"/>
      <c r="AG30" s="13"/>
      <c r="AH30" s="13"/>
      <c r="AI30" s="13"/>
      <c r="AJ30" s="13"/>
      <c r="AK30" s="15"/>
      <c r="AL30" s="16"/>
    </row>
    <row r="31" spans="2:38" ht="12.75" customHeight="1">
      <c r="B31" s="180">
        <f t="shared" si="1"/>
        <v>25</v>
      </c>
      <c r="C31" s="45" t="s">
        <v>53</v>
      </c>
      <c r="D31" s="153">
        <v>6735.1</v>
      </c>
      <c r="E31" s="203" t="e">
        <f>#REF!</f>
        <v>#REF!</v>
      </c>
      <c r="F31" s="196">
        <f>Эсбыт!F30</f>
        <v>347</v>
      </c>
      <c r="G31" s="203" t="e">
        <f>#REF!</f>
        <v>#REF!</v>
      </c>
      <c r="H31" s="196">
        <f>Эсбыт!H30</f>
        <v>604</v>
      </c>
      <c r="I31" s="203" t="e">
        <f>#REF!</f>
        <v>#REF!</v>
      </c>
      <c r="J31" s="85">
        <f>Эсбыт!J30</f>
        <v>545</v>
      </c>
      <c r="K31" s="54" t="e">
        <f>#REF!</f>
        <v>#REF!</v>
      </c>
      <c r="L31" s="93">
        <f>Эсбыт!L30</f>
        <v>590</v>
      </c>
      <c r="M31" s="216" t="e">
        <f>#REF!</f>
        <v>#REF!</v>
      </c>
      <c r="N31" s="92">
        <f>Эсбыт!N30</f>
        <v>405</v>
      </c>
      <c r="O31" s="54" t="e">
        <f>#REF!</f>
        <v>#REF!</v>
      </c>
      <c r="P31" s="95">
        <f>Эсбыт!P30</f>
        <v>540</v>
      </c>
      <c r="Q31" s="216" t="e">
        <f>#REF!</f>
        <v>#REF!</v>
      </c>
      <c r="R31" s="92">
        <f>Эсбыт!R30</f>
        <v>254</v>
      </c>
      <c r="S31" s="54" t="e">
        <f>#REF!</f>
        <v>#REF!</v>
      </c>
      <c r="T31" s="92">
        <f>Эсбыт!T30</f>
        <v>320</v>
      </c>
      <c r="U31" s="54"/>
      <c r="V31" s="60"/>
      <c r="W31" s="51"/>
      <c r="X31" s="66"/>
      <c r="Y31" s="47"/>
      <c r="Z31" s="37"/>
      <c r="AA31" s="47"/>
      <c r="AB31" s="37"/>
      <c r="AC31" s="31" t="e">
        <f t="shared" si="2"/>
        <v>#REF!</v>
      </c>
      <c r="AD31" s="30">
        <f t="shared" si="3"/>
        <v>3605</v>
      </c>
      <c r="AE31" s="31" t="e">
        <f t="shared" si="4"/>
        <v>#REF!</v>
      </c>
      <c r="AF31" s="13"/>
      <c r="AG31" s="13"/>
      <c r="AH31" s="13"/>
      <c r="AI31" s="13"/>
      <c r="AJ31" s="13"/>
      <c r="AK31" s="15"/>
      <c r="AL31" s="16"/>
    </row>
    <row r="32" spans="2:38" ht="12.75" customHeight="1">
      <c r="B32" s="180">
        <f t="shared" si="1"/>
        <v>26</v>
      </c>
      <c r="C32" s="45" t="s">
        <v>42</v>
      </c>
      <c r="D32" s="153">
        <v>13989.3</v>
      </c>
      <c r="E32" s="203" t="e">
        <f>#REF!</f>
        <v>#REF!</v>
      </c>
      <c r="F32" s="196">
        <f>Эсбыт!F31</f>
        <v>895</v>
      </c>
      <c r="G32" s="203" t="e">
        <f>#REF!</f>
        <v>#REF!</v>
      </c>
      <c r="H32" s="196">
        <f>Эсбыт!H31</f>
        <v>1552</v>
      </c>
      <c r="I32" s="203" t="e">
        <f>#REF!</f>
        <v>#REF!</v>
      </c>
      <c r="J32" s="85">
        <f>Эсбыт!J31</f>
        <v>1403</v>
      </c>
      <c r="K32" s="54" t="e">
        <f>#REF!</f>
        <v>#REF!</v>
      </c>
      <c r="L32" s="93">
        <f>Эсбыт!L31</f>
        <v>1554</v>
      </c>
      <c r="M32" s="216" t="e">
        <f>#REF!</f>
        <v>#REF!</v>
      </c>
      <c r="N32" s="92">
        <f>Эсбыт!N31</f>
        <v>1122</v>
      </c>
      <c r="O32" s="54" t="e">
        <f>#REF!</f>
        <v>#REF!</v>
      </c>
      <c r="P32" s="95">
        <f>Эсбыт!P31</f>
        <v>1468</v>
      </c>
      <c r="Q32" s="216" t="e">
        <f>#REF!</f>
        <v>#REF!</v>
      </c>
      <c r="R32" s="92">
        <f>Эсбыт!R31</f>
        <v>686</v>
      </c>
      <c r="S32" s="54" t="e">
        <f>#REF!</f>
        <v>#REF!</v>
      </c>
      <c r="T32" s="92">
        <f>Эсбыт!T31</f>
        <v>878</v>
      </c>
      <c r="U32" s="54"/>
      <c r="V32" s="60"/>
      <c r="W32" s="51"/>
      <c r="X32" s="66"/>
      <c r="Y32" s="47"/>
      <c r="Z32" s="37"/>
      <c r="AA32" s="47"/>
      <c r="AB32" s="37"/>
      <c r="AC32" s="31" t="e">
        <f t="shared" si="2"/>
        <v>#REF!</v>
      </c>
      <c r="AD32" s="30">
        <f t="shared" si="3"/>
        <v>9558</v>
      </c>
      <c r="AE32" s="31" t="e">
        <f t="shared" si="4"/>
        <v>#REF!</v>
      </c>
      <c r="AF32" s="13"/>
      <c r="AG32" s="13"/>
      <c r="AH32" s="13"/>
      <c r="AI32" s="13"/>
      <c r="AJ32" s="13"/>
      <c r="AK32" s="15"/>
      <c r="AL32" s="13"/>
    </row>
    <row r="33" spans="2:38" ht="12.75" customHeight="1">
      <c r="B33" s="180">
        <f t="shared" si="1"/>
        <v>27</v>
      </c>
      <c r="C33" s="45" t="s">
        <v>2</v>
      </c>
      <c r="D33" s="153">
        <v>13695.4</v>
      </c>
      <c r="E33" s="203" t="e">
        <f>#REF!</f>
        <v>#REF!</v>
      </c>
      <c r="F33" s="196">
        <f>Эсбыт!F32</f>
        <v>747</v>
      </c>
      <c r="G33" s="203" t="e">
        <f>#REF!</f>
        <v>#REF!</v>
      </c>
      <c r="H33" s="196">
        <f>Эсбыт!H32</f>
        <v>1428</v>
      </c>
      <c r="I33" s="203" t="e">
        <f>#REF!</f>
        <v>#REF!</v>
      </c>
      <c r="J33" s="85">
        <f>Эсбыт!J32</f>
        <v>1157</v>
      </c>
      <c r="K33" s="54" t="e">
        <f>#REF!</f>
        <v>#REF!</v>
      </c>
      <c r="L33" s="93">
        <f>Эсбыт!L32</f>
        <v>1257</v>
      </c>
      <c r="M33" s="216" t="e">
        <f>#REF!</f>
        <v>#REF!</v>
      </c>
      <c r="N33" s="92">
        <f>Эсбыт!N32</f>
        <v>932</v>
      </c>
      <c r="O33" s="54" t="e">
        <f>#REF!</f>
        <v>#REF!</v>
      </c>
      <c r="P33" s="95">
        <f>Эсбыт!P32</f>
        <v>1140</v>
      </c>
      <c r="Q33" s="216" t="e">
        <f>#REF!</f>
        <v>#REF!</v>
      </c>
      <c r="R33" s="92">
        <f>Эсбыт!R32</f>
        <v>550</v>
      </c>
      <c r="S33" s="54" t="e">
        <f>#REF!</f>
        <v>#REF!</v>
      </c>
      <c r="T33" s="92">
        <f>Эсбыт!T32</f>
        <v>666</v>
      </c>
      <c r="U33" s="54"/>
      <c r="V33" s="60"/>
      <c r="W33" s="51"/>
      <c r="X33" s="66"/>
      <c r="Y33" s="47"/>
      <c r="Z33" s="37"/>
      <c r="AA33" s="47"/>
      <c r="AB33" s="37"/>
      <c r="AC33" s="31" t="e">
        <f t="shared" si="2"/>
        <v>#REF!</v>
      </c>
      <c r="AD33" s="30">
        <f t="shared" si="3"/>
        <v>7877</v>
      </c>
      <c r="AE33" s="31" t="e">
        <f t="shared" si="4"/>
        <v>#REF!</v>
      </c>
      <c r="AF33" s="13"/>
      <c r="AG33" s="13"/>
      <c r="AH33" s="13"/>
      <c r="AI33" s="13"/>
      <c r="AJ33" s="13"/>
      <c r="AK33" s="15"/>
      <c r="AL33" s="16"/>
    </row>
    <row r="34" spans="2:38" ht="12.75" customHeight="1">
      <c r="B34" s="180">
        <f t="shared" si="1"/>
        <v>28</v>
      </c>
      <c r="C34" s="45" t="s">
        <v>3</v>
      </c>
      <c r="D34" s="153">
        <v>6360.3</v>
      </c>
      <c r="E34" s="203" t="e">
        <f>#REF!</f>
        <v>#REF!</v>
      </c>
      <c r="F34" s="196">
        <f>Эсбыт!F33</f>
        <v>364</v>
      </c>
      <c r="G34" s="203" t="e">
        <f>#REF!</f>
        <v>#REF!</v>
      </c>
      <c r="H34" s="196">
        <f>Эсбыт!H33</f>
        <v>624</v>
      </c>
      <c r="I34" s="203" t="e">
        <f>#REF!</f>
        <v>#REF!</v>
      </c>
      <c r="J34" s="85">
        <f>Эсбыт!J33</f>
        <v>528</v>
      </c>
      <c r="K34" s="54" t="e">
        <f>#REF!</f>
        <v>#REF!</v>
      </c>
      <c r="L34" s="93">
        <f>Эсбыт!L33</f>
        <v>540</v>
      </c>
      <c r="M34" s="216" t="e">
        <f>#REF!</f>
        <v>#REF!</v>
      </c>
      <c r="N34" s="92">
        <f>Эсбыт!N33</f>
        <v>439</v>
      </c>
      <c r="O34" s="54" t="e">
        <f>#REF!</f>
        <v>#REF!</v>
      </c>
      <c r="P34" s="95">
        <f>Эсбыт!P33</f>
        <v>524</v>
      </c>
      <c r="Q34" s="216" t="e">
        <f>#REF!</f>
        <v>#REF!</v>
      </c>
      <c r="R34" s="92">
        <f>Эсбыт!R33</f>
        <v>257</v>
      </c>
      <c r="S34" s="54" t="e">
        <f>#REF!</f>
        <v>#REF!</v>
      </c>
      <c r="T34" s="92">
        <f>Эсбыт!T33</f>
        <v>328</v>
      </c>
      <c r="U34" s="54"/>
      <c r="V34" s="60"/>
      <c r="W34" s="51"/>
      <c r="X34" s="66"/>
      <c r="Y34" s="47"/>
      <c r="Z34" s="37"/>
      <c r="AA34" s="47"/>
      <c r="AB34" s="37"/>
      <c r="AC34" s="31" t="e">
        <f t="shared" si="2"/>
        <v>#REF!</v>
      </c>
      <c r="AD34" s="30">
        <f t="shared" si="3"/>
        <v>3604</v>
      </c>
      <c r="AE34" s="31" t="e">
        <f t="shared" si="4"/>
        <v>#REF!</v>
      </c>
      <c r="AF34" s="13"/>
      <c r="AG34" s="13"/>
      <c r="AH34" s="13"/>
      <c r="AI34" s="13"/>
      <c r="AJ34" s="13"/>
      <c r="AK34" s="15"/>
      <c r="AL34" s="16"/>
    </row>
    <row r="35" spans="2:38" ht="12.75" customHeight="1">
      <c r="B35" s="180">
        <f t="shared" si="1"/>
        <v>29</v>
      </c>
      <c r="C35" s="45" t="s">
        <v>4</v>
      </c>
      <c r="D35" s="153">
        <v>12946.5</v>
      </c>
      <c r="E35" s="203" t="e">
        <f>#REF!</f>
        <v>#REF!</v>
      </c>
      <c r="F35" s="196">
        <f>Эсбыт!F34</f>
        <v>559</v>
      </c>
      <c r="G35" s="203" t="e">
        <f>#REF!</f>
        <v>#REF!</v>
      </c>
      <c r="H35" s="196">
        <f>Эсбыт!H34</f>
        <v>970</v>
      </c>
      <c r="I35" s="203" t="e">
        <f>#REF!</f>
        <v>#REF!</v>
      </c>
      <c r="J35" s="85">
        <f>Эсбыт!J34</f>
        <v>892</v>
      </c>
      <c r="K35" s="54" t="e">
        <f>#REF!</f>
        <v>#REF!</v>
      </c>
      <c r="L35" s="93">
        <f>Эсбыт!L34</f>
        <v>1039</v>
      </c>
      <c r="M35" s="216" t="e">
        <f>#REF!</f>
        <v>#REF!</v>
      </c>
      <c r="N35" s="92">
        <f>Эсбыт!N34</f>
        <v>763</v>
      </c>
      <c r="O35" s="54" t="e">
        <f>#REF!</f>
        <v>#REF!</v>
      </c>
      <c r="P35" s="95">
        <f>Эсбыт!P34</f>
        <v>891</v>
      </c>
      <c r="Q35" s="216" t="e">
        <f>#REF!</f>
        <v>#REF!</v>
      </c>
      <c r="R35" s="92">
        <f>Эсбыт!R34</f>
        <v>400</v>
      </c>
      <c r="S35" s="54" t="e">
        <f>#REF!</f>
        <v>#REF!</v>
      </c>
      <c r="T35" s="92">
        <f>Эсбыт!T34</f>
        <v>484</v>
      </c>
      <c r="U35" s="54"/>
      <c r="V35" s="60"/>
      <c r="W35" s="51"/>
      <c r="X35" s="66"/>
      <c r="Y35" s="47"/>
      <c r="Z35" s="37"/>
      <c r="AA35" s="47"/>
      <c r="AB35" s="37"/>
      <c r="AC35" s="31" t="e">
        <f t="shared" si="2"/>
        <v>#REF!</v>
      </c>
      <c r="AD35" s="30">
        <f t="shared" si="3"/>
        <v>5998</v>
      </c>
      <c r="AE35" s="31" t="e">
        <f t="shared" si="4"/>
        <v>#REF!</v>
      </c>
      <c r="AF35" s="13"/>
      <c r="AG35" s="13"/>
      <c r="AH35" s="13"/>
      <c r="AI35" s="13"/>
      <c r="AJ35" s="13"/>
      <c r="AK35" s="15"/>
      <c r="AL35" s="13"/>
    </row>
    <row r="36" spans="2:38" ht="12.75" customHeight="1">
      <c r="B36" s="180">
        <f t="shared" si="1"/>
        <v>30</v>
      </c>
      <c r="C36" s="45" t="s">
        <v>5</v>
      </c>
      <c r="D36" s="153">
        <v>12207.7</v>
      </c>
      <c r="E36" s="203" t="e">
        <f>#REF!</f>
        <v>#REF!</v>
      </c>
      <c r="F36" s="196">
        <f>Эсбыт!F35</f>
        <v>566</v>
      </c>
      <c r="G36" s="203" t="e">
        <f>#REF!</f>
        <v>#REF!</v>
      </c>
      <c r="H36" s="196">
        <f>Эсбыт!H35</f>
        <v>1004</v>
      </c>
      <c r="I36" s="203" t="e">
        <f>#REF!</f>
        <v>#REF!</v>
      </c>
      <c r="J36" s="85">
        <f>Эсбыт!J35</f>
        <v>876</v>
      </c>
      <c r="K36" s="54" t="e">
        <f>#REF!</f>
        <v>#REF!</v>
      </c>
      <c r="L36" s="93">
        <f>Эсбыт!L35</f>
        <v>1076</v>
      </c>
      <c r="M36" s="216" t="e">
        <f>#REF!</f>
        <v>#REF!</v>
      </c>
      <c r="N36" s="92">
        <f>Эсбыт!N35</f>
        <v>830</v>
      </c>
      <c r="O36" s="54" t="e">
        <f>#REF!</f>
        <v>#REF!</v>
      </c>
      <c r="P36" s="95">
        <f>Эсбыт!P35</f>
        <v>944</v>
      </c>
      <c r="Q36" s="216" t="e">
        <f>#REF!</f>
        <v>#REF!</v>
      </c>
      <c r="R36" s="92">
        <f>Эсбыт!R35</f>
        <v>462</v>
      </c>
      <c r="S36" s="54" t="e">
        <f>#REF!</f>
        <v>#REF!</v>
      </c>
      <c r="T36" s="92">
        <f>Эсбыт!T35</f>
        <v>567</v>
      </c>
      <c r="U36" s="54"/>
      <c r="V36" s="60"/>
      <c r="W36" s="51"/>
      <c r="X36" s="66"/>
      <c r="Y36" s="47"/>
      <c r="Z36" s="37"/>
      <c r="AA36" s="47"/>
      <c r="AB36" s="37"/>
      <c r="AC36" s="31" t="e">
        <f t="shared" si="2"/>
        <v>#REF!</v>
      </c>
      <c r="AD36" s="30">
        <f t="shared" si="3"/>
        <v>6325</v>
      </c>
      <c r="AE36" s="31" t="e">
        <f t="shared" si="4"/>
        <v>#REF!</v>
      </c>
      <c r="AF36" s="13"/>
      <c r="AG36" s="13"/>
      <c r="AH36" s="13"/>
      <c r="AI36" s="13"/>
      <c r="AJ36" s="13"/>
      <c r="AK36" s="15"/>
      <c r="AL36" s="13"/>
    </row>
    <row r="37" spans="2:38" ht="12.75" customHeight="1">
      <c r="B37" s="180">
        <f t="shared" si="1"/>
        <v>31</v>
      </c>
      <c r="C37" s="45" t="s">
        <v>6</v>
      </c>
      <c r="D37" s="153">
        <v>4902.2</v>
      </c>
      <c r="E37" s="203" t="e">
        <f>#REF!</f>
        <v>#REF!</v>
      </c>
      <c r="F37" s="196">
        <f>Эсбыт!F36</f>
        <v>239</v>
      </c>
      <c r="G37" s="203" t="e">
        <f>#REF!</f>
        <v>#REF!</v>
      </c>
      <c r="H37" s="196">
        <f>Эсбыт!H36</f>
        <v>415</v>
      </c>
      <c r="I37" s="203" t="e">
        <f>#REF!</f>
        <v>#REF!</v>
      </c>
      <c r="J37" s="85">
        <f>Эсбыт!J36</f>
        <v>288</v>
      </c>
      <c r="K37" s="54" t="e">
        <f>#REF!</f>
        <v>#REF!</v>
      </c>
      <c r="L37" s="93">
        <f>Эсбыт!L36</f>
        <v>392</v>
      </c>
      <c r="M37" s="216" t="e">
        <f>#REF!</f>
        <v>#REF!</v>
      </c>
      <c r="N37" s="92">
        <f>Эсбыт!N36</f>
        <v>328</v>
      </c>
      <c r="O37" s="54" t="e">
        <f>#REF!</f>
        <v>#REF!</v>
      </c>
      <c r="P37" s="95">
        <f>Эсбыт!P36</f>
        <v>438</v>
      </c>
      <c r="Q37" s="216" t="e">
        <f>#REF!</f>
        <v>#REF!</v>
      </c>
      <c r="R37" s="92">
        <f>Эсбыт!R36</f>
        <v>200</v>
      </c>
      <c r="S37" s="54" t="e">
        <f>#REF!</f>
        <v>#REF!</v>
      </c>
      <c r="T37" s="92">
        <f>Эсбыт!T36</f>
        <v>251</v>
      </c>
      <c r="U37" s="54"/>
      <c r="V37" s="60"/>
      <c r="W37" s="51"/>
      <c r="X37" s="66"/>
      <c r="Y37" s="47"/>
      <c r="Z37" s="37"/>
      <c r="AA37" s="47"/>
      <c r="AB37" s="37"/>
      <c r="AC37" s="31" t="e">
        <f t="shared" si="2"/>
        <v>#REF!</v>
      </c>
      <c r="AD37" s="30">
        <f t="shared" si="3"/>
        <v>2551</v>
      </c>
      <c r="AE37" s="31" t="e">
        <f t="shared" si="4"/>
        <v>#REF!</v>
      </c>
      <c r="AF37" s="13"/>
      <c r="AG37" s="13"/>
      <c r="AH37" s="13"/>
      <c r="AI37" s="13"/>
      <c r="AJ37" s="13"/>
      <c r="AK37" s="15"/>
      <c r="AL37" s="13"/>
    </row>
    <row r="38" spans="2:38" ht="12.75" customHeight="1">
      <c r="B38" s="180">
        <f t="shared" si="1"/>
        <v>32</v>
      </c>
      <c r="C38" s="45" t="s">
        <v>62</v>
      </c>
      <c r="D38" s="153">
        <v>19674.8</v>
      </c>
      <c r="E38" s="203" t="e">
        <f>#REF!</f>
        <v>#REF!</v>
      </c>
      <c r="F38" s="196">
        <f>Эсбыт!F37</f>
        <v>959</v>
      </c>
      <c r="G38" s="203" t="e">
        <f>#REF!</f>
        <v>#REF!</v>
      </c>
      <c r="H38" s="196">
        <f>Эсбыт!H37</f>
        <v>1678</v>
      </c>
      <c r="I38" s="203" t="e">
        <f>#REF!</f>
        <v>#REF!</v>
      </c>
      <c r="J38" s="85">
        <f>Эсбыт!J37</f>
        <v>1551</v>
      </c>
      <c r="K38" s="54" t="e">
        <f>#REF!</f>
        <v>#REF!</v>
      </c>
      <c r="L38" s="93">
        <f>Эсбыт!L37</f>
        <v>1720</v>
      </c>
      <c r="M38" s="216" t="e">
        <f>#REF!</f>
        <v>#REF!</v>
      </c>
      <c r="N38" s="92">
        <f>Эсбыт!N37</f>
        <v>1345</v>
      </c>
      <c r="O38" s="54" t="e">
        <f>#REF!</f>
        <v>#REF!</v>
      </c>
      <c r="P38" s="95">
        <f>Эсбыт!P37</f>
        <v>1517</v>
      </c>
      <c r="Q38" s="216" t="e">
        <f>#REF!</f>
        <v>#REF!</v>
      </c>
      <c r="R38" s="92">
        <f>Эсбыт!R37</f>
        <v>739</v>
      </c>
      <c r="S38" s="54" t="e">
        <f>#REF!</f>
        <v>#REF!</v>
      </c>
      <c r="T38" s="92">
        <f>Эсбыт!T37</f>
        <v>887</v>
      </c>
      <c r="U38" s="54"/>
      <c r="V38" s="60"/>
      <c r="W38" s="51"/>
      <c r="X38" s="66"/>
      <c r="Y38" s="47"/>
      <c r="Z38" s="37"/>
      <c r="AA38" s="47"/>
      <c r="AB38" s="37"/>
      <c r="AC38" s="31" t="e">
        <f t="shared" si="2"/>
        <v>#REF!</v>
      </c>
      <c r="AD38" s="30">
        <f t="shared" si="3"/>
        <v>10396</v>
      </c>
      <c r="AE38" s="31" t="e">
        <f t="shared" si="4"/>
        <v>#REF!</v>
      </c>
      <c r="AF38" s="13"/>
      <c r="AG38" s="13"/>
      <c r="AH38" s="13"/>
      <c r="AI38" s="13"/>
      <c r="AJ38" s="13"/>
      <c r="AK38" s="15"/>
      <c r="AL38" s="13"/>
    </row>
    <row r="39" spans="2:38" ht="12.75" customHeight="1">
      <c r="B39" s="180">
        <f t="shared" si="1"/>
        <v>33</v>
      </c>
      <c r="C39" s="45" t="s">
        <v>7</v>
      </c>
      <c r="D39" s="153">
        <v>10939</v>
      </c>
      <c r="E39" s="203" t="e">
        <f>#REF!</f>
        <v>#REF!</v>
      </c>
      <c r="F39" s="196">
        <f>Эсбыт!F38</f>
        <v>537</v>
      </c>
      <c r="G39" s="203" t="e">
        <f>#REF!</f>
        <v>#REF!</v>
      </c>
      <c r="H39" s="196">
        <f>Эсбыт!H38</f>
        <v>891</v>
      </c>
      <c r="I39" s="203" t="e">
        <f>#REF!</f>
        <v>#REF!</v>
      </c>
      <c r="J39" s="85">
        <f>Эсбыт!J38</f>
        <v>773</v>
      </c>
      <c r="K39" s="54" t="e">
        <f>#REF!</f>
        <v>#REF!</v>
      </c>
      <c r="L39" s="93">
        <f>Эсбыт!L38</f>
        <v>824</v>
      </c>
      <c r="M39" s="216" t="e">
        <f>#REF!</f>
        <v>#REF!</v>
      </c>
      <c r="N39" s="92">
        <f>Эсбыт!N38</f>
        <v>653</v>
      </c>
      <c r="O39" s="54" t="e">
        <f>#REF!</f>
        <v>#REF!</v>
      </c>
      <c r="P39" s="95">
        <f>Эсбыт!P38</f>
        <v>998</v>
      </c>
      <c r="Q39" s="216" t="e">
        <f>#REF!</f>
        <v>#REF!</v>
      </c>
      <c r="R39" s="92">
        <f>Эсбыт!R38</f>
        <v>503</v>
      </c>
      <c r="S39" s="54" t="e">
        <f>#REF!</f>
        <v>#REF!</v>
      </c>
      <c r="T39" s="92">
        <f>Эсбыт!T38</f>
        <v>563</v>
      </c>
      <c r="U39" s="54"/>
      <c r="V39" s="60"/>
      <c r="W39" s="51"/>
      <c r="X39" s="66"/>
      <c r="Y39" s="47"/>
      <c r="Z39" s="37"/>
      <c r="AA39" s="47"/>
      <c r="AB39" s="37"/>
      <c r="AC39" s="31" t="e">
        <f t="shared" si="2"/>
        <v>#REF!</v>
      </c>
      <c r="AD39" s="30">
        <f t="shared" si="3"/>
        <v>5742</v>
      </c>
      <c r="AE39" s="31" t="e">
        <f t="shared" si="4"/>
        <v>#REF!</v>
      </c>
      <c r="AF39" s="13"/>
      <c r="AG39" s="13"/>
      <c r="AH39" s="13"/>
      <c r="AI39" s="13"/>
      <c r="AJ39" s="13"/>
      <c r="AK39" s="15"/>
      <c r="AL39" s="16"/>
    </row>
    <row r="40" spans="2:38" ht="12.75" customHeight="1">
      <c r="B40" s="180">
        <f t="shared" si="1"/>
        <v>34</v>
      </c>
      <c r="C40" s="45" t="s">
        <v>8</v>
      </c>
      <c r="D40" s="153">
        <v>6730.4</v>
      </c>
      <c r="E40" s="203" t="e">
        <f>#REF!</f>
        <v>#REF!</v>
      </c>
      <c r="F40" s="196">
        <f>Эсбыт!F39</f>
        <v>393</v>
      </c>
      <c r="G40" s="203" t="e">
        <f>#REF!</f>
        <v>#REF!</v>
      </c>
      <c r="H40" s="196">
        <f>Эсбыт!H39</f>
        <v>632</v>
      </c>
      <c r="I40" s="203" t="e">
        <f>#REF!</f>
        <v>#REF!</v>
      </c>
      <c r="J40" s="85">
        <f>Эсбыт!J39</f>
        <v>614</v>
      </c>
      <c r="K40" s="54" t="e">
        <f>#REF!</f>
        <v>#REF!</v>
      </c>
      <c r="L40" s="93">
        <f>Эсбыт!L39</f>
        <v>687</v>
      </c>
      <c r="M40" s="216" t="e">
        <f>#REF!</f>
        <v>#REF!</v>
      </c>
      <c r="N40" s="92">
        <f>Эсбыт!N39</f>
        <v>490</v>
      </c>
      <c r="O40" s="54" t="e">
        <f>#REF!</f>
        <v>#REF!</v>
      </c>
      <c r="P40" s="95">
        <f>Эсбыт!P39</f>
        <v>601</v>
      </c>
      <c r="Q40" s="216" t="e">
        <f>#REF!</f>
        <v>#REF!</v>
      </c>
      <c r="R40" s="92">
        <f>Эсбыт!R39</f>
        <v>295</v>
      </c>
      <c r="S40" s="54" t="e">
        <f>#REF!</f>
        <v>#REF!</v>
      </c>
      <c r="T40" s="92">
        <f>Эсбыт!T39</f>
        <v>356</v>
      </c>
      <c r="U40" s="54"/>
      <c r="V40" s="60"/>
      <c r="W40" s="51"/>
      <c r="X40" s="66"/>
      <c r="Y40" s="47"/>
      <c r="Z40" s="37"/>
      <c r="AA40" s="47"/>
      <c r="AB40" s="37"/>
      <c r="AC40" s="31" t="e">
        <f t="shared" si="2"/>
        <v>#REF!</v>
      </c>
      <c r="AD40" s="30">
        <f t="shared" si="3"/>
        <v>4068</v>
      </c>
      <c r="AE40" s="31" t="e">
        <f t="shared" si="4"/>
        <v>#REF!</v>
      </c>
      <c r="AF40" s="13"/>
      <c r="AG40" s="13"/>
      <c r="AH40" s="13"/>
      <c r="AI40" s="13"/>
      <c r="AJ40" s="13"/>
      <c r="AK40" s="15"/>
      <c r="AL40" s="13"/>
    </row>
    <row r="41" spans="2:38" ht="12.75" customHeight="1">
      <c r="B41" s="180">
        <f t="shared" si="1"/>
        <v>35</v>
      </c>
      <c r="C41" s="45" t="s">
        <v>9</v>
      </c>
      <c r="D41" s="153">
        <v>6586.2</v>
      </c>
      <c r="E41" s="203" t="e">
        <f>#REF!</f>
        <v>#REF!</v>
      </c>
      <c r="F41" s="196">
        <f>Эсбыт!F40</f>
        <v>358</v>
      </c>
      <c r="G41" s="203" t="e">
        <f>#REF!</f>
        <v>#REF!</v>
      </c>
      <c r="H41" s="196">
        <f>Эсбыт!H40</f>
        <v>627</v>
      </c>
      <c r="I41" s="203" t="e">
        <f>#REF!</f>
        <v>#REF!</v>
      </c>
      <c r="J41" s="85">
        <f>Эсбыт!J40</f>
        <v>574</v>
      </c>
      <c r="K41" s="54" t="e">
        <f>#REF!</f>
        <v>#REF!</v>
      </c>
      <c r="L41" s="93">
        <f>Эсбыт!L40</f>
        <v>634</v>
      </c>
      <c r="M41" s="216" t="e">
        <f>#REF!</f>
        <v>#REF!</v>
      </c>
      <c r="N41" s="92">
        <f>Эсбыт!N40</f>
        <v>457</v>
      </c>
      <c r="O41" s="54" t="e">
        <f>#REF!</f>
        <v>#REF!</v>
      </c>
      <c r="P41" s="95">
        <f>Эсбыт!P40</f>
        <v>463</v>
      </c>
      <c r="Q41" s="216" t="e">
        <f>#REF!</f>
        <v>#REF!</v>
      </c>
      <c r="R41" s="92">
        <f>Эсбыт!R40</f>
        <v>210</v>
      </c>
      <c r="S41" s="54" t="e">
        <f>#REF!</f>
        <v>#REF!</v>
      </c>
      <c r="T41" s="92">
        <f>Эсбыт!T40</f>
        <v>353</v>
      </c>
      <c r="U41" s="54"/>
      <c r="V41" s="60"/>
      <c r="W41" s="51"/>
      <c r="X41" s="66"/>
      <c r="Y41" s="47"/>
      <c r="Z41" s="37"/>
      <c r="AA41" s="47"/>
      <c r="AB41" s="37"/>
      <c r="AC41" s="31" t="e">
        <f t="shared" si="2"/>
        <v>#REF!</v>
      </c>
      <c r="AD41" s="30">
        <f t="shared" si="3"/>
        <v>3676</v>
      </c>
      <c r="AE41" s="31" t="e">
        <f t="shared" si="4"/>
        <v>#REF!</v>
      </c>
      <c r="AF41" s="13"/>
      <c r="AG41" s="13"/>
      <c r="AH41" s="13"/>
      <c r="AI41" s="13"/>
      <c r="AJ41" s="13"/>
      <c r="AK41" s="15"/>
      <c r="AL41" s="13"/>
    </row>
    <row r="42" spans="2:38" ht="12.75" customHeight="1">
      <c r="B42" s="180">
        <f t="shared" si="1"/>
        <v>36</v>
      </c>
      <c r="C42" s="45" t="s">
        <v>10</v>
      </c>
      <c r="D42" s="153">
        <v>2378.8</v>
      </c>
      <c r="E42" s="203" t="e">
        <f>#REF!</f>
        <v>#REF!</v>
      </c>
      <c r="F42" s="196">
        <f>Эсбыт!F41</f>
        <v>131</v>
      </c>
      <c r="G42" s="203" t="e">
        <f>#REF!</f>
        <v>#REF!</v>
      </c>
      <c r="H42" s="196">
        <f>Эсбыт!H41</f>
        <v>219</v>
      </c>
      <c r="I42" s="203" t="e">
        <f>#REF!</f>
        <v>#REF!</v>
      </c>
      <c r="J42" s="85">
        <f>Эсбыт!J41</f>
        <v>201</v>
      </c>
      <c r="K42" s="54" t="e">
        <f>#REF!</f>
        <v>#REF!</v>
      </c>
      <c r="L42" s="93">
        <f>Эсбыт!L41</f>
        <v>235</v>
      </c>
      <c r="M42" s="216" t="e">
        <f>#REF!</f>
        <v>#REF!</v>
      </c>
      <c r="N42" s="92">
        <f>Эсбыт!N41</f>
        <v>185</v>
      </c>
      <c r="O42" s="54" t="e">
        <f>#REF!</f>
        <v>#REF!</v>
      </c>
      <c r="P42" s="95">
        <f>Эсбыт!P41</f>
        <v>169</v>
      </c>
      <c r="Q42" s="216" t="e">
        <f>#REF!</f>
        <v>#REF!</v>
      </c>
      <c r="R42" s="92">
        <f>Эсбыт!R41</f>
        <v>80</v>
      </c>
      <c r="S42" s="54" t="e">
        <f>#REF!</f>
        <v>#REF!</v>
      </c>
      <c r="T42" s="92">
        <f>Эсбыт!T41</f>
        <v>120</v>
      </c>
      <c r="U42" s="54"/>
      <c r="V42" s="70"/>
      <c r="W42" s="51"/>
      <c r="X42" s="66"/>
      <c r="Y42" s="47"/>
      <c r="Z42" s="37"/>
      <c r="AA42" s="47"/>
      <c r="AB42" s="37"/>
      <c r="AC42" s="31" t="e">
        <f t="shared" si="2"/>
        <v>#REF!</v>
      </c>
      <c r="AD42" s="30">
        <f t="shared" si="3"/>
        <v>1340</v>
      </c>
      <c r="AE42" s="31" t="e">
        <f t="shared" si="4"/>
        <v>#REF!</v>
      </c>
      <c r="AF42" s="13"/>
      <c r="AG42" s="13"/>
      <c r="AH42" s="13"/>
      <c r="AI42" s="13"/>
      <c r="AJ42" s="13"/>
      <c r="AK42" s="15"/>
      <c r="AL42" s="13"/>
    </row>
    <row r="43" spans="2:38" ht="12.75" customHeight="1">
      <c r="B43" s="180">
        <f t="shared" si="1"/>
        <v>37</v>
      </c>
      <c r="C43" s="45" t="s">
        <v>11</v>
      </c>
      <c r="D43" s="153">
        <v>7175.7</v>
      </c>
      <c r="E43" s="203" t="e">
        <f>#REF!</f>
        <v>#REF!</v>
      </c>
      <c r="F43" s="196">
        <f>Эсбыт!F44</f>
        <v>225</v>
      </c>
      <c r="G43" s="203" t="e">
        <f>#REF!</f>
        <v>#REF!</v>
      </c>
      <c r="H43" s="196">
        <f>Эсбыт!H44</f>
        <v>504</v>
      </c>
      <c r="I43" s="203" t="e">
        <f>#REF!</f>
        <v>#REF!</v>
      </c>
      <c r="J43" s="85">
        <f>Эсбыт!J44</f>
        <v>457</v>
      </c>
      <c r="K43" s="54" t="e">
        <f>#REF!</f>
        <v>#REF!</v>
      </c>
      <c r="L43" s="93">
        <f>Эсбыт!L44</f>
        <v>491</v>
      </c>
      <c r="M43" s="216" t="e">
        <f>#REF!</f>
        <v>#REF!</v>
      </c>
      <c r="N43" s="92">
        <f>Эсбыт!N44</f>
        <v>459</v>
      </c>
      <c r="O43" s="54" t="e">
        <f>#REF!</f>
        <v>#REF!</v>
      </c>
      <c r="P43" s="95">
        <f>Эсбыт!P44</f>
        <v>437</v>
      </c>
      <c r="Q43" s="216" t="e">
        <f>#REF!</f>
        <v>#REF!</v>
      </c>
      <c r="R43" s="92">
        <f>Эсбыт!R44</f>
        <v>244</v>
      </c>
      <c r="S43" s="54" t="e">
        <f>#REF!</f>
        <v>#REF!</v>
      </c>
      <c r="T43" s="92">
        <f>Эсбыт!T44</f>
        <v>323</v>
      </c>
      <c r="U43" s="54"/>
      <c r="V43" s="60"/>
      <c r="W43" s="51"/>
      <c r="X43" s="66"/>
      <c r="Y43" s="47"/>
      <c r="Z43" s="37"/>
      <c r="AA43" s="47"/>
      <c r="AB43" s="37"/>
      <c r="AC43" s="31" t="e">
        <f t="shared" si="2"/>
        <v>#REF!</v>
      </c>
      <c r="AD43" s="30">
        <f t="shared" si="3"/>
        <v>3140</v>
      </c>
      <c r="AE43" s="31" t="e">
        <f t="shared" si="4"/>
        <v>#REF!</v>
      </c>
      <c r="AF43" s="13"/>
      <c r="AG43" s="13"/>
      <c r="AH43" s="13"/>
      <c r="AI43" s="13"/>
      <c r="AJ43" s="13"/>
      <c r="AK43" s="15"/>
      <c r="AL43" s="13"/>
    </row>
    <row r="44" spans="2:38" ht="12.75" customHeight="1">
      <c r="B44" s="180">
        <f t="shared" si="1"/>
        <v>38</v>
      </c>
      <c r="C44" s="187" t="s">
        <v>56</v>
      </c>
      <c r="D44" s="154">
        <v>4256.7</v>
      </c>
      <c r="E44" s="104" t="e">
        <f>#REF!</f>
        <v>#REF!</v>
      </c>
      <c r="F44" s="107">
        <f>Эсбыт!F45</f>
        <v>196</v>
      </c>
      <c r="G44" s="104" t="e">
        <f>#REF!</f>
        <v>#REF!</v>
      </c>
      <c r="H44" s="107">
        <f>Эсбыт!H45</f>
        <v>324</v>
      </c>
      <c r="I44" s="104" t="e">
        <f>#REF!</f>
        <v>#REF!</v>
      </c>
      <c r="J44" s="105">
        <f>Эсбыт!J45</f>
        <v>242</v>
      </c>
      <c r="K44" s="104" t="e">
        <f>#REF!</f>
        <v>#REF!</v>
      </c>
      <c r="L44" s="106">
        <f>Эсбыт!L45</f>
        <v>314</v>
      </c>
      <c r="M44" s="104" t="e">
        <f>#REF!</f>
        <v>#REF!</v>
      </c>
      <c r="N44" s="105">
        <f>Эсбыт!N45</f>
        <v>278</v>
      </c>
      <c r="O44" s="104" t="e">
        <f>#REF!</f>
        <v>#REF!</v>
      </c>
      <c r="P44" s="107">
        <f>Эсбыт!P45</f>
        <v>260</v>
      </c>
      <c r="Q44" s="115" t="e">
        <f>#REF!</f>
        <v>#REF!</v>
      </c>
      <c r="R44" s="149">
        <f>Эсбыт!R45</f>
        <v>120</v>
      </c>
      <c r="S44" s="115" t="e">
        <f>#REF!</f>
        <v>#REF!</v>
      </c>
      <c r="T44" s="149">
        <f>Эсбыт!T45</f>
        <v>169</v>
      </c>
      <c r="U44" s="104"/>
      <c r="V44" s="108"/>
      <c r="W44" s="109"/>
      <c r="X44" s="110"/>
      <c r="Y44" s="111"/>
      <c r="Z44" s="112"/>
      <c r="AA44" s="111"/>
      <c r="AB44" s="112"/>
      <c r="AC44" s="113" t="e">
        <f t="shared" si="2"/>
        <v>#REF!</v>
      </c>
      <c r="AD44" s="114">
        <f t="shared" si="3"/>
        <v>1903</v>
      </c>
      <c r="AE44" s="113" t="e">
        <f t="shared" si="4"/>
        <v>#REF!</v>
      </c>
      <c r="AF44" s="13"/>
      <c r="AG44" s="13"/>
      <c r="AH44" s="13"/>
      <c r="AI44" s="13"/>
      <c r="AJ44" s="13"/>
      <c r="AK44" s="15"/>
      <c r="AL44" s="13"/>
    </row>
    <row r="45" spans="2:38" ht="12.75" customHeight="1">
      <c r="B45" s="180">
        <f t="shared" si="1"/>
        <v>39</v>
      </c>
      <c r="C45" s="45" t="s">
        <v>12</v>
      </c>
      <c r="D45" s="153">
        <v>5797</v>
      </c>
      <c r="E45" s="203" t="e">
        <f>#REF!</f>
        <v>#REF!</v>
      </c>
      <c r="F45" s="196">
        <f>Эсбыт!F46</f>
        <v>282</v>
      </c>
      <c r="G45" s="203" t="e">
        <f>#REF!</f>
        <v>#REF!</v>
      </c>
      <c r="H45" s="196">
        <f>Эсбыт!H46</f>
        <v>452</v>
      </c>
      <c r="I45" s="203" t="e">
        <f>#REF!</f>
        <v>#REF!</v>
      </c>
      <c r="J45" s="85">
        <f>Эсбыт!J46</f>
        <v>445</v>
      </c>
      <c r="K45" s="54" t="e">
        <f>#REF!</f>
        <v>#REF!</v>
      </c>
      <c r="L45" s="93">
        <f>Эсбыт!L46</f>
        <v>495</v>
      </c>
      <c r="M45" s="216" t="e">
        <f>#REF!</f>
        <v>#REF!</v>
      </c>
      <c r="N45" s="92">
        <f>Эсбыт!N46</f>
        <v>479</v>
      </c>
      <c r="O45" s="54" t="e">
        <f>#REF!</f>
        <v>#REF!</v>
      </c>
      <c r="P45" s="95">
        <f>Эсбыт!P46</f>
        <v>645</v>
      </c>
      <c r="Q45" s="216" t="e">
        <f>#REF!</f>
        <v>#REF!</v>
      </c>
      <c r="R45" s="92">
        <f>Эсбыт!R46</f>
        <v>126</v>
      </c>
      <c r="S45" s="54" t="e">
        <f>#REF!</f>
        <v>#REF!</v>
      </c>
      <c r="T45" s="92">
        <f>Эсбыт!T46</f>
        <v>357</v>
      </c>
      <c r="U45" s="54"/>
      <c r="V45" s="60"/>
      <c r="W45" s="51"/>
      <c r="X45" s="66"/>
      <c r="Y45" s="47"/>
      <c r="Z45" s="37"/>
      <c r="AA45" s="47"/>
      <c r="AB45" s="37"/>
      <c r="AC45" s="31" t="e">
        <f t="shared" si="2"/>
        <v>#REF!</v>
      </c>
      <c r="AD45" s="30">
        <f t="shared" si="3"/>
        <v>3281</v>
      </c>
      <c r="AE45" s="31" t="e">
        <f t="shared" si="4"/>
        <v>#REF!</v>
      </c>
      <c r="AF45" s="13"/>
      <c r="AG45" s="13"/>
      <c r="AH45" s="13"/>
      <c r="AI45" s="13"/>
      <c r="AJ45" s="13"/>
      <c r="AK45" s="15"/>
      <c r="AL45" s="13"/>
    </row>
    <row r="46" spans="2:38" ht="12.75" customHeight="1">
      <c r="B46" s="180">
        <f t="shared" si="1"/>
        <v>40</v>
      </c>
      <c r="C46" s="45" t="s">
        <v>81</v>
      </c>
      <c r="D46" s="153">
        <v>5325.4</v>
      </c>
      <c r="E46" s="203" t="e">
        <f>#REF!</f>
        <v>#REF!</v>
      </c>
      <c r="F46" s="196">
        <f>Эсбыт!F47</f>
        <v>79</v>
      </c>
      <c r="G46" s="203" t="e">
        <f>#REF!</f>
        <v>#REF!</v>
      </c>
      <c r="H46" s="196">
        <f>Эсбыт!H47</f>
        <v>127</v>
      </c>
      <c r="I46" s="203" t="e">
        <f>#REF!</f>
        <v>#REF!</v>
      </c>
      <c r="J46" s="85">
        <f>Эсбыт!J47</f>
        <v>106</v>
      </c>
      <c r="K46" s="54" t="e">
        <f>#REF!</f>
        <v>#REF!</v>
      </c>
      <c r="L46" s="93">
        <f>Эсбыт!L47</f>
        <v>127</v>
      </c>
      <c r="M46" s="216" t="e">
        <f>#REF!</f>
        <v>#REF!</v>
      </c>
      <c r="N46" s="92">
        <f>Эсбыт!N47</f>
        <v>89</v>
      </c>
      <c r="O46" s="54" t="e">
        <f>#REF!</f>
        <v>#REF!</v>
      </c>
      <c r="P46" s="95">
        <f>Эсбыт!P47</f>
        <v>128</v>
      </c>
      <c r="Q46" s="216" t="e">
        <f>#REF!</f>
        <v>#REF!</v>
      </c>
      <c r="R46" s="92">
        <f>Эсбыт!R47</f>
        <v>16</v>
      </c>
      <c r="S46" s="54" t="e">
        <f>#REF!</f>
        <v>#REF!</v>
      </c>
      <c r="T46" s="92">
        <f>Эсбыт!T47</f>
        <v>61</v>
      </c>
      <c r="U46" s="54"/>
      <c r="V46" s="60"/>
      <c r="W46" s="51"/>
      <c r="X46" s="66"/>
      <c r="Y46" s="47"/>
      <c r="Z46" s="37"/>
      <c r="AA46" s="47"/>
      <c r="AB46" s="37"/>
      <c r="AC46" s="31" t="e">
        <f t="shared" si="2"/>
        <v>#REF!</v>
      </c>
      <c r="AD46" s="30">
        <f t="shared" si="3"/>
        <v>733</v>
      </c>
      <c r="AE46" s="31" t="e">
        <f t="shared" si="4"/>
        <v>#REF!</v>
      </c>
      <c r="AF46" s="13"/>
      <c r="AG46" s="13"/>
      <c r="AH46" s="13"/>
      <c r="AI46" s="13"/>
      <c r="AJ46" s="13"/>
      <c r="AK46" s="15"/>
      <c r="AL46" s="13"/>
    </row>
    <row r="47" spans="2:38" ht="12.75" customHeight="1">
      <c r="B47" s="180">
        <f t="shared" si="1"/>
        <v>41</v>
      </c>
      <c r="C47" s="190" t="s">
        <v>13</v>
      </c>
      <c r="D47" s="153">
        <v>11675.3</v>
      </c>
      <c r="E47" s="205" t="e">
        <f>#REF!</f>
        <v>#REF!</v>
      </c>
      <c r="F47" s="198">
        <f>Эсбыт!F48</f>
        <v>761</v>
      </c>
      <c r="G47" s="205" t="e">
        <f>#REF!</f>
        <v>#REF!</v>
      </c>
      <c r="H47" s="198">
        <f>Эсбыт!H48</f>
        <v>476</v>
      </c>
      <c r="I47" s="205" t="e">
        <f>#REF!</f>
        <v>#REF!</v>
      </c>
      <c r="J47" s="94">
        <f>Эсбыт!J48</f>
        <v>812</v>
      </c>
      <c r="K47" s="55" t="e">
        <f>#REF!</f>
        <v>#REF!</v>
      </c>
      <c r="L47" s="116">
        <f>Эсбыт!L48</f>
        <v>1095</v>
      </c>
      <c r="M47" s="55" t="e">
        <f>#REF!</f>
        <v>#REF!</v>
      </c>
      <c r="N47" s="146">
        <f>Эсбыт!N48</f>
        <v>887</v>
      </c>
      <c r="O47" s="55" t="e">
        <f>#REF!</f>
        <v>#REF!</v>
      </c>
      <c r="P47" s="117">
        <f>Эсбыт!P48</f>
        <v>969</v>
      </c>
      <c r="Q47" s="55" t="e">
        <f>#REF!</f>
        <v>#REF!</v>
      </c>
      <c r="R47" s="146">
        <f>Эсбыт!R48</f>
        <v>531</v>
      </c>
      <c r="S47" s="55" t="e">
        <f>#REF!</f>
        <v>#REF!</v>
      </c>
      <c r="T47" s="146">
        <f>Эсбыт!T48</f>
        <v>709</v>
      </c>
      <c r="U47" s="55"/>
      <c r="V47" s="63"/>
      <c r="W47" s="51"/>
      <c r="X47" s="68"/>
      <c r="Y47" s="57"/>
      <c r="Z47" s="38"/>
      <c r="AA47" s="57"/>
      <c r="AB47" s="38"/>
      <c r="AC47" s="118" t="e">
        <f t="shared" si="2"/>
        <v>#REF!</v>
      </c>
      <c r="AD47" s="119">
        <f t="shared" si="3"/>
        <v>6240</v>
      </c>
      <c r="AE47" s="118" t="e">
        <f t="shared" si="4"/>
        <v>#REF!</v>
      </c>
      <c r="AF47" s="13"/>
      <c r="AG47" s="13"/>
      <c r="AH47" s="13"/>
      <c r="AI47" s="13"/>
      <c r="AJ47" s="13"/>
      <c r="AK47" s="15"/>
      <c r="AL47" s="16"/>
    </row>
    <row r="48" spans="2:38" ht="12.75" customHeight="1">
      <c r="B48" s="180">
        <f t="shared" si="1"/>
        <v>42</v>
      </c>
      <c r="C48" s="188" t="s">
        <v>14</v>
      </c>
      <c r="D48" s="155">
        <v>3803.7</v>
      </c>
      <c r="E48" s="203" t="e">
        <f>#REF!</f>
        <v>#REF!</v>
      </c>
      <c r="F48" s="196">
        <f>Эсбыт!F49</f>
        <v>212</v>
      </c>
      <c r="G48" s="203" t="e">
        <f>#REF!</f>
        <v>#REF!</v>
      </c>
      <c r="H48" s="196">
        <f>Эсбыт!H49</f>
        <v>323</v>
      </c>
      <c r="I48" s="203" t="e">
        <f>#REF!</f>
        <v>#REF!</v>
      </c>
      <c r="J48" s="85">
        <f>Эсбыт!J49</f>
        <v>336</v>
      </c>
      <c r="K48" s="54" t="e">
        <f>#REF!</f>
        <v>#REF!</v>
      </c>
      <c r="L48" s="93">
        <f>Эсбыт!L49</f>
        <v>391</v>
      </c>
      <c r="M48" s="216" t="e">
        <f>#REF!</f>
        <v>#REF!</v>
      </c>
      <c r="N48" s="92">
        <f>Эсбыт!N49</f>
        <v>331</v>
      </c>
      <c r="O48" s="54" t="e">
        <f>#REF!</f>
        <v>#REF!</v>
      </c>
      <c r="P48" s="95">
        <f>Эсбыт!P49</f>
        <v>292</v>
      </c>
      <c r="Q48" s="216" t="e">
        <f>#REF!</f>
        <v>#REF!</v>
      </c>
      <c r="R48" s="92">
        <f>Эсбыт!R49</f>
        <v>115</v>
      </c>
      <c r="S48" s="54" t="e">
        <f>#REF!</f>
        <v>#REF!</v>
      </c>
      <c r="T48" s="92">
        <f>Эсбыт!T49</f>
        <v>221</v>
      </c>
      <c r="U48" s="56"/>
      <c r="V48" s="64"/>
      <c r="W48" s="50"/>
      <c r="X48" s="69"/>
      <c r="Y48" s="58"/>
      <c r="Z48" s="37"/>
      <c r="AA48" s="58"/>
      <c r="AB48" s="37"/>
      <c r="AC48" s="29" t="e">
        <f t="shared" si="2"/>
        <v>#REF!</v>
      </c>
      <c r="AD48" s="28">
        <f t="shared" si="3"/>
        <v>2221</v>
      </c>
      <c r="AE48" s="31" t="e">
        <f t="shared" si="4"/>
        <v>#REF!</v>
      </c>
      <c r="AF48" s="13"/>
      <c r="AG48" s="13"/>
      <c r="AH48" s="13"/>
      <c r="AI48" s="13"/>
      <c r="AJ48" s="13"/>
      <c r="AK48" s="15"/>
      <c r="AL48" s="13"/>
    </row>
    <row r="49" spans="2:38" ht="12.75" customHeight="1">
      <c r="B49" s="180">
        <f t="shared" si="1"/>
        <v>43</v>
      </c>
      <c r="C49" s="186" t="s">
        <v>15</v>
      </c>
      <c r="D49" s="153">
        <v>13733.1</v>
      </c>
      <c r="E49" s="205" t="e">
        <f>#REF!</f>
        <v>#REF!</v>
      </c>
      <c r="F49" s="198">
        <f>Эсбыт!F50</f>
        <v>780</v>
      </c>
      <c r="G49" s="205" t="e">
        <f>#REF!</f>
        <v>#REF!</v>
      </c>
      <c r="H49" s="198">
        <f>Эсбыт!H50</f>
        <v>1354</v>
      </c>
      <c r="I49" s="205" t="e">
        <f>#REF!</f>
        <v>#REF!</v>
      </c>
      <c r="J49" s="94">
        <f>Эсбыт!J50</f>
        <v>1213</v>
      </c>
      <c r="K49" s="55" t="e">
        <f>#REF!</f>
        <v>#REF!</v>
      </c>
      <c r="L49" s="116">
        <f>Эсбыт!L50</f>
        <v>1277</v>
      </c>
      <c r="M49" s="55" t="e">
        <f>#REF!</f>
        <v>#REF!</v>
      </c>
      <c r="N49" s="146">
        <f>Эсбыт!N50</f>
        <v>1153</v>
      </c>
      <c r="O49" s="55" t="e">
        <f>#REF!</f>
        <v>#REF!</v>
      </c>
      <c r="P49" s="117">
        <f>Эсбыт!P50</f>
        <v>1515</v>
      </c>
      <c r="Q49" s="55" t="e">
        <f>#REF!</f>
        <v>#REF!</v>
      </c>
      <c r="R49" s="146">
        <f>Эсбыт!R50</f>
        <v>646</v>
      </c>
      <c r="S49" s="54" t="e">
        <f>#REF!</f>
        <v>#REF!</v>
      </c>
      <c r="T49" s="92">
        <f>Эсбыт!T50</f>
        <v>492</v>
      </c>
      <c r="U49" s="55"/>
      <c r="V49" s="63"/>
      <c r="W49" s="51"/>
      <c r="X49" s="68"/>
      <c r="Y49" s="57"/>
      <c r="Z49" s="38"/>
      <c r="AA49" s="57"/>
      <c r="AB49" s="38"/>
      <c r="AC49" s="118" t="e">
        <f t="shared" si="2"/>
        <v>#REF!</v>
      </c>
      <c r="AD49" s="119">
        <f t="shared" si="3"/>
        <v>8430</v>
      </c>
      <c r="AE49" s="118" t="e">
        <f t="shared" si="4"/>
        <v>#REF!</v>
      </c>
      <c r="AF49" s="13"/>
      <c r="AG49" s="13"/>
      <c r="AH49" s="13"/>
      <c r="AI49" s="13"/>
      <c r="AJ49" s="13"/>
      <c r="AK49" s="15"/>
      <c r="AL49" s="13"/>
    </row>
    <row r="50" spans="2:38" ht="12.75" customHeight="1">
      <c r="B50" s="180">
        <f t="shared" si="1"/>
        <v>44</v>
      </c>
      <c r="C50" s="189" t="s">
        <v>16</v>
      </c>
      <c r="D50" s="153">
        <v>8981.6</v>
      </c>
      <c r="E50" s="204" t="e">
        <f>#REF!</f>
        <v>#REF!</v>
      </c>
      <c r="F50" s="197">
        <f>Эсбыт!F51</f>
        <v>540</v>
      </c>
      <c r="G50" s="204" t="e">
        <f>#REF!</f>
        <v>#REF!</v>
      </c>
      <c r="H50" s="197">
        <f>Эсбыт!H51</f>
        <v>803</v>
      </c>
      <c r="I50" s="204" t="e">
        <f>#REF!</f>
        <v>#REF!</v>
      </c>
      <c r="J50" s="123">
        <f>Эсбыт!J51</f>
        <v>724</v>
      </c>
      <c r="K50" s="134" t="e">
        <f>#REF!</f>
        <v>#REF!</v>
      </c>
      <c r="L50" s="124">
        <f>Эсбыт!L51</f>
        <v>834</v>
      </c>
      <c r="M50" s="134" t="e">
        <f>#REF!</f>
        <v>#REF!</v>
      </c>
      <c r="N50" s="126">
        <f>Эсбыт!N51</f>
        <v>682</v>
      </c>
      <c r="O50" s="134" t="e">
        <f>#REF!</f>
        <v>#REF!</v>
      </c>
      <c r="P50" s="125">
        <f>Эсбыт!P51</f>
        <v>951</v>
      </c>
      <c r="Q50" s="134" t="e">
        <f>#REF!</f>
        <v>#REF!</v>
      </c>
      <c r="R50" s="126">
        <f>Эсбыт!R51</f>
        <v>389</v>
      </c>
      <c r="S50" s="134" t="e">
        <f>#REF!</f>
        <v>#REF!</v>
      </c>
      <c r="T50" s="126">
        <f>Эсбыт!T51</f>
        <v>530</v>
      </c>
      <c r="U50" s="134"/>
      <c r="V50" s="129"/>
      <c r="W50" s="130"/>
      <c r="X50" s="127"/>
      <c r="Y50" s="128"/>
      <c r="Z50" s="131"/>
      <c r="AA50" s="128"/>
      <c r="AB50" s="131"/>
      <c r="AC50" s="132" t="e">
        <f t="shared" si="2"/>
        <v>#REF!</v>
      </c>
      <c r="AD50" s="133">
        <f t="shared" si="3"/>
        <v>5453</v>
      </c>
      <c r="AE50" s="132" t="e">
        <f t="shared" si="4"/>
        <v>#REF!</v>
      </c>
      <c r="AF50" s="13"/>
      <c r="AG50" s="13"/>
      <c r="AH50" s="13"/>
      <c r="AI50" s="13"/>
      <c r="AJ50" s="13"/>
      <c r="AK50" s="15"/>
      <c r="AL50" s="13"/>
    </row>
    <row r="51" spans="2:38" ht="12.75" customHeight="1">
      <c r="B51" s="180">
        <f t="shared" si="1"/>
        <v>45</v>
      </c>
      <c r="C51" s="45" t="s">
        <v>17</v>
      </c>
      <c r="D51" s="153">
        <v>4789.4</v>
      </c>
      <c r="E51" s="203" t="e">
        <f>#REF!</f>
        <v>#REF!</v>
      </c>
      <c r="F51" s="196">
        <f>Эсбыт!F52</f>
        <v>308</v>
      </c>
      <c r="G51" s="203" t="e">
        <f>#REF!</f>
        <v>#REF!</v>
      </c>
      <c r="H51" s="196">
        <f>Эсбыт!H52</f>
        <v>489</v>
      </c>
      <c r="I51" s="203" t="e">
        <f>#REF!</f>
        <v>#REF!</v>
      </c>
      <c r="J51" s="85">
        <f>Эсбыт!J52</f>
        <v>468</v>
      </c>
      <c r="K51" s="54" t="e">
        <f>#REF!</f>
        <v>#REF!</v>
      </c>
      <c r="L51" s="93">
        <f>Эсбыт!L52</f>
        <v>471</v>
      </c>
      <c r="M51" s="216" t="e">
        <f>#REF!</f>
        <v>#REF!</v>
      </c>
      <c r="N51" s="92">
        <f>Эсбыт!N52</f>
        <v>471</v>
      </c>
      <c r="O51" s="54" t="e">
        <f>#REF!</f>
        <v>#REF!</v>
      </c>
      <c r="P51" s="95">
        <f>Эсбыт!P52</f>
        <v>486</v>
      </c>
      <c r="Q51" s="216" t="e">
        <f>#REF!</f>
        <v>#REF!</v>
      </c>
      <c r="R51" s="92">
        <f>Эсбыт!R52</f>
        <v>209</v>
      </c>
      <c r="S51" s="54" t="e">
        <f>#REF!</f>
        <v>#REF!</v>
      </c>
      <c r="T51" s="92">
        <f>Эсбыт!T52</f>
        <v>287</v>
      </c>
      <c r="U51" s="54"/>
      <c r="V51" s="60"/>
      <c r="W51" s="51"/>
      <c r="X51" s="66"/>
      <c r="Y51" s="47"/>
      <c r="Z51" s="37"/>
      <c r="AA51" s="47"/>
      <c r="AB51" s="37"/>
      <c r="AC51" s="31" t="e">
        <f t="shared" si="2"/>
        <v>#REF!</v>
      </c>
      <c r="AD51" s="30">
        <f t="shared" si="3"/>
        <v>3189</v>
      </c>
      <c r="AE51" s="31" t="e">
        <f t="shared" si="4"/>
        <v>#REF!</v>
      </c>
      <c r="AF51" s="13"/>
      <c r="AG51" s="13"/>
      <c r="AH51" s="13"/>
      <c r="AI51" s="13"/>
      <c r="AJ51" s="13"/>
      <c r="AK51" s="15"/>
      <c r="AL51" s="13"/>
    </row>
    <row r="52" spans="2:38" ht="12.75" customHeight="1">
      <c r="B52" s="180">
        <f t="shared" si="1"/>
        <v>46</v>
      </c>
      <c r="C52" s="190" t="s">
        <v>18</v>
      </c>
      <c r="D52" s="153">
        <v>5273.8</v>
      </c>
      <c r="E52" s="205" t="e">
        <f>#REF!</f>
        <v>#REF!</v>
      </c>
      <c r="F52" s="198">
        <f>Эсбыт!F53</f>
        <v>198</v>
      </c>
      <c r="G52" s="205" t="e">
        <f>#REF!</f>
        <v>#REF!</v>
      </c>
      <c r="H52" s="198">
        <f>Эсбыт!H53</f>
        <v>450</v>
      </c>
      <c r="I52" s="205" t="e">
        <f>#REF!</f>
        <v>#REF!</v>
      </c>
      <c r="J52" s="94">
        <f>Эсбыт!J53</f>
        <v>555</v>
      </c>
      <c r="K52" s="55" t="e">
        <f>#REF!</f>
        <v>#REF!</v>
      </c>
      <c r="L52" s="116">
        <f>Эсбыт!L53</f>
        <v>579</v>
      </c>
      <c r="M52" s="55" t="e">
        <f>#REF!</f>
        <v>#REF!</v>
      </c>
      <c r="N52" s="146">
        <f>Эсбыт!N53</f>
        <v>493</v>
      </c>
      <c r="O52" s="55" t="e">
        <f>#REF!</f>
        <v>#REF!</v>
      </c>
      <c r="P52" s="117">
        <f>Эсбыт!P53</f>
        <v>730</v>
      </c>
      <c r="Q52" s="216" t="e">
        <f>#REF!</f>
        <v>#REF!</v>
      </c>
      <c r="R52" s="92">
        <f>Эсбыт!R53</f>
        <v>336</v>
      </c>
      <c r="S52" s="54" t="e">
        <f>#REF!</f>
        <v>#REF!</v>
      </c>
      <c r="T52" s="92">
        <f>Эсбыт!T53</f>
        <v>463</v>
      </c>
      <c r="U52" s="55"/>
      <c r="V52" s="63"/>
      <c r="W52" s="51"/>
      <c r="X52" s="68"/>
      <c r="Y52" s="57"/>
      <c r="Z52" s="38"/>
      <c r="AA52" s="57"/>
      <c r="AB52" s="38"/>
      <c r="AC52" s="118" t="e">
        <f t="shared" si="2"/>
        <v>#REF!</v>
      </c>
      <c r="AD52" s="119">
        <f t="shared" si="3"/>
        <v>3804</v>
      </c>
      <c r="AE52" s="118" t="e">
        <f t="shared" si="4"/>
        <v>#REF!</v>
      </c>
      <c r="AF52" s="13"/>
      <c r="AG52" s="13"/>
      <c r="AH52" s="13"/>
      <c r="AI52" s="13"/>
      <c r="AJ52" s="13"/>
      <c r="AK52" s="15"/>
      <c r="AL52" s="16"/>
    </row>
    <row r="53" spans="2:38" ht="12.75" customHeight="1">
      <c r="B53" s="180">
        <f t="shared" si="1"/>
        <v>47</v>
      </c>
      <c r="C53" s="45" t="s">
        <v>19</v>
      </c>
      <c r="D53" s="153">
        <v>11125.8</v>
      </c>
      <c r="E53" s="203" t="e">
        <f>#REF!</f>
        <v>#REF!</v>
      </c>
      <c r="F53" s="196">
        <f>Эсбыт!F54</f>
        <v>655</v>
      </c>
      <c r="G53" s="203" t="e">
        <f>#REF!</f>
        <v>#REF!</v>
      </c>
      <c r="H53" s="196">
        <f>Эсбыт!H54</f>
        <v>1081</v>
      </c>
      <c r="I53" s="203" t="e">
        <f>#REF!</f>
        <v>#REF!</v>
      </c>
      <c r="J53" s="85">
        <f>Эсбыт!J54</f>
        <v>1132</v>
      </c>
      <c r="K53" s="54" t="e">
        <f>#REF!</f>
        <v>#REF!</v>
      </c>
      <c r="L53" s="93">
        <f>Эсбыт!L54</f>
        <v>1298</v>
      </c>
      <c r="M53" s="216" t="e">
        <f>#REF!</f>
        <v>#REF!</v>
      </c>
      <c r="N53" s="92">
        <f>Эсбыт!N54</f>
        <v>919</v>
      </c>
      <c r="O53" s="54" t="e">
        <f>#REF!</f>
        <v>#REF!</v>
      </c>
      <c r="P53" s="95">
        <f>Эсбыт!P54</f>
        <v>1273</v>
      </c>
      <c r="Q53" s="216" t="e">
        <f>#REF!</f>
        <v>#REF!</v>
      </c>
      <c r="R53" s="92">
        <f>Эсбыт!R54</f>
        <v>597</v>
      </c>
      <c r="S53" s="54" t="e">
        <f>#REF!</f>
        <v>#REF!</v>
      </c>
      <c r="T53" s="92">
        <f>Эсбыт!T54</f>
        <v>708</v>
      </c>
      <c r="U53" s="54"/>
      <c r="V53" s="60"/>
      <c r="W53" s="51"/>
      <c r="X53" s="66"/>
      <c r="Y53" s="47"/>
      <c r="Z53" s="37"/>
      <c r="AA53" s="47"/>
      <c r="AB53" s="37"/>
      <c r="AC53" s="31" t="e">
        <f t="shared" si="2"/>
        <v>#REF!</v>
      </c>
      <c r="AD53" s="30">
        <f t="shared" si="3"/>
        <v>7663</v>
      </c>
      <c r="AE53" s="31" t="e">
        <f t="shared" si="4"/>
        <v>#REF!</v>
      </c>
      <c r="AF53" s="13"/>
      <c r="AG53" s="13"/>
      <c r="AH53" s="13"/>
      <c r="AI53" s="13"/>
      <c r="AJ53" s="13"/>
      <c r="AK53" s="15"/>
      <c r="AL53" s="13"/>
    </row>
    <row r="54" spans="2:38" ht="12.75" customHeight="1">
      <c r="B54" s="180">
        <f t="shared" si="1"/>
        <v>48</v>
      </c>
      <c r="C54" s="45" t="s">
        <v>66</v>
      </c>
      <c r="D54" s="153">
        <v>6713.5</v>
      </c>
      <c r="E54" s="203" t="e">
        <f>#REF!</f>
        <v>#REF!</v>
      </c>
      <c r="F54" s="196">
        <f>Эсбыт!F55</f>
        <v>357</v>
      </c>
      <c r="G54" s="203" t="e">
        <f>#REF!</f>
        <v>#REF!</v>
      </c>
      <c r="H54" s="196">
        <f>Эсбыт!H55</f>
        <v>460</v>
      </c>
      <c r="I54" s="203" t="e">
        <f>#REF!</f>
        <v>#REF!</v>
      </c>
      <c r="J54" s="85">
        <f>Эсбыт!J55</f>
        <v>506</v>
      </c>
      <c r="K54" s="54" t="e">
        <f>#REF!</f>
        <v>#REF!</v>
      </c>
      <c r="L54" s="93">
        <f>Эсбыт!L55</f>
        <v>612</v>
      </c>
      <c r="M54" s="216" t="e">
        <f>#REF!</f>
        <v>#REF!</v>
      </c>
      <c r="N54" s="92">
        <f>Эсбыт!N55</f>
        <v>1026</v>
      </c>
      <c r="O54" s="54" t="e">
        <f>#REF!</f>
        <v>#REF!</v>
      </c>
      <c r="P54" s="95">
        <f>Эсбыт!P55</f>
        <v>292</v>
      </c>
      <c r="Q54" s="216" t="e">
        <f>#REF!</f>
        <v>#REF!</v>
      </c>
      <c r="R54" s="92">
        <f>Эсбыт!R55</f>
        <v>182</v>
      </c>
      <c r="S54" s="54" t="e">
        <f>#REF!</f>
        <v>#REF!</v>
      </c>
      <c r="T54" s="92">
        <f>Эсбыт!T55</f>
        <v>176</v>
      </c>
      <c r="U54" s="54"/>
      <c r="V54" s="60"/>
      <c r="W54" s="51"/>
      <c r="X54" s="66"/>
      <c r="Y54" s="47"/>
      <c r="Z54" s="37"/>
      <c r="AA54" s="47"/>
      <c r="AB54" s="37"/>
      <c r="AC54" s="31" t="e">
        <f aca="true" t="shared" si="5" ref="AC54:AD57">AA54+Y54+W54+U54+S54+Q54+O54+M54+K54+I54+G54+E54</f>
        <v>#REF!</v>
      </c>
      <c r="AD54" s="30">
        <f t="shared" si="5"/>
        <v>3611</v>
      </c>
      <c r="AE54" s="31" t="e">
        <f>AD54-AC54</f>
        <v>#REF!</v>
      </c>
      <c r="AF54" s="13"/>
      <c r="AG54" s="13"/>
      <c r="AH54" s="13"/>
      <c r="AI54" s="13"/>
      <c r="AJ54" s="13"/>
      <c r="AK54" s="15"/>
      <c r="AL54" s="16"/>
    </row>
    <row r="55" spans="2:38" ht="12.75" customHeight="1">
      <c r="B55" s="182">
        <f t="shared" si="1"/>
        <v>49</v>
      </c>
      <c r="C55" s="189" t="s">
        <v>82</v>
      </c>
      <c r="D55" s="154">
        <v>6718.7</v>
      </c>
      <c r="E55" s="135" t="e">
        <f>#REF!</f>
        <v>#REF!</v>
      </c>
      <c r="F55" s="138">
        <f>Эсбыт!F56</f>
        <v>433</v>
      </c>
      <c r="G55" s="135" t="e">
        <f>#REF!</f>
        <v>#REF!</v>
      </c>
      <c r="H55" s="138">
        <f>Эсбыт!H56</f>
        <v>745</v>
      </c>
      <c r="I55" s="135" t="e">
        <f>#REF!</f>
        <v>#REF!</v>
      </c>
      <c r="J55" s="136">
        <f>Эсбыт!J56</f>
        <v>493</v>
      </c>
      <c r="K55" s="135" t="e">
        <f>#REF!</f>
        <v>#REF!</v>
      </c>
      <c r="L55" s="137">
        <f>Эсбыт!L56</f>
        <v>451</v>
      </c>
      <c r="M55" s="135" t="e">
        <f>#REF!</f>
        <v>#REF!</v>
      </c>
      <c r="N55" s="136">
        <f>Эсбыт!N56</f>
        <v>327</v>
      </c>
      <c r="O55" s="135" t="e">
        <f>#REF!</f>
        <v>#REF!</v>
      </c>
      <c r="P55" s="138">
        <f>Эсбыт!P56</f>
        <v>470</v>
      </c>
      <c r="Q55" s="134" t="e">
        <f>#REF!</f>
        <v>#REF!</v>
      </c>
      <c r="R55" s="126">
        <f>Эсбыт!R56</f>
        <v>151</v>
      </c>
      <c r="S55" s="134" t="e">
        <f>#REF!</f>
        <v>#REF!</v>
      </c>
      <c r="T55" s="126">
        <f>Эсбыт!T56</f>
        <v>283</v>
      </c>
      <c r="U55" s="135"/>
      <c r="V55" s="141"/>
      <c r="W55" s="139"/>
      <c r="X55" s="140"/>
      <c r="Y55" s="142"/>
      <c r="Z55" s="143"/>
      <c r="AA55" s="142"/>
      <c r="AB55" s="143"/>
      <c r="AC55" s="144" t="e">
        <f t="shared" si="5"/>
        <v>#REF!</v>
      </c>
      <c r="AD55" s="145">
        <f t="shared" si="5"/>
        <v>3353</v>
      </c>
      <c r="AE55" s="144" t="e">
        <f>AD55-AC55</f>
        <v>#REF!</v>
      </c>
      <c r="AF55" s="13"/>
      <c r="AG55" s="13"/>
      <c r="AH55" s="13"/>
      <c r="AI55" s="13"/>
      <c r="AJ55" s="13"/>
      <c r="AK55" s="15"/>
      <c r="AL55" s="16"/>
    </row>
    <row r="56" spans="2:38" ht="12.75" customHeight="1">
      <c r="B56" s="180">
        <f t="shared" si="1"/>
        <v>50</v>
      </c>
      <c r="C56" s="187" t="s">
        <v>83</v>
      </c>
      <c r="D56" s="154">
        <v>6706.5</v>
      </c>
      <c r="E56" s="104" t="e">
        <f>#REF!</f>
        <v>#REF!</v>
      </c>
      <c r="F56" s="107">
        <f>Эсбыт!F57</f>
        <v>211</v>
      </c>
      <c r="G56" s="104" t="e">
        <f>#REF!</f>
        <v>#REF!</v>
      </c>
      <c r="H56" s="107">
        <f>Эсбыт!H57</f>
        <v>402</v>
      </c>
      <c r="I56" s="104" t="e">
        <f>#REF!</f>
        <v>#REF!</v>
      </c>
      <c r="J56" s="105">
        <f>Эсбыт!J57</f>
        <v>415</v>
      </c>
      <c r="K56" s="104" t="e">
        <f>#REF!</f>
        <v>#REF!</v>
      </c>
      <c r="L56" s="106">
        <f>Эсбыт!L58</f>
        <v>0</v>
      </c>
      <c r="M56" s="104" t="e">
        <f>#REF!</f>
        <v>#REF!</v>
      </c>
      <c r="N56" s="105">
        <f>Эсбыт!N57</f>
        <v>360</v>
      </c>
      <c r="O56" s="104" t="e">
        <f>#REF!</f>
        <v>#REF!</v>
      </c>
      <c r="P56" s="107">
        <f>Эсбыт!P57</f>
        <v>457</v>
      </c>
      <c r="Q56" s="115" t="e">
        <f>#REF!</f>
        <v>#REF!</v>
      </c>
      <c r="R56" s="149">
        <f>Эсбыт!R57</f>
        <v>233</v>
      </c>
      <c r="S56" s="115" t="e">
        <f>#REF!</f>
        <v>#REF!</v>
      </c>
      <c r="T56" s="149">
        <f>Эсбыт!T57</f>
        <v>317</v>
      </c>
      <c r="U56" s="104"/>
      <c r="V56" s="108"/>
      <c r="W56" s="109"/>
      <c r="X56" s="110"/>
      <c r="Y56" s="111"/>
      <c r="Z56" s="112"/>
      <c r="AA56" s="111"/>
      <c r="AB56" s="112"/>
      <c r="AC56" s="113" t="e">
        <f t="shared" si="5"/>
        <v>#REF!</v>
      </c>
      <c r="AD56" s="114">
        <f t="shared" si="5"/>
        <v>2395</v>
      </c>
      <c r="AE56" s="113" t="e">
        <f>AD56-AC56</f>
        <v>#REF!</v>
      </c>
      <c r="AF56" s="13"/>
      <c r="AG56" s="13"/>
      <c r="AH56" s="13"/>
      <c r="AI56" s="13"/>
      <c r="AJ56" s="13"/>
      <c r="AK56" s="15"/>
      <c r="AL56" s="16"/>
    </row>
    <row r="57" spans="2:38" ht="12.75" customHeight="1">
      <c r="B57" s="180">
        <f t="shared" si="1"/>
        <v>51</v>
      </c>
      <c r="C57" s="190" t="s">
        <v>89</v>
      </c>
      <c r="D57" s="151">
        <v>6708.8</v>
      </c>
      <c r="E57" s="162"/>
      <c r="F57" s="165"/>
      <c r="G57" s="162"/>
      <c r="H57" s="165"/>
      <c r="I57" s="162"/>
      <c r="J57" s="163"/>
      <c r="K57" s="162"/>
      <c r="L57" s="164"/>
      <c r="M57" s="162"/>
      <c r="N57" s="163"/>
      <c r="O57" s="162"/>
      <c r="P57" s="165"/>
      <c r="Q57" s="55"/>
      <c r="R57" s="146"/>
      <c r="S57" s="54" t="e">
        <f>#REF!</f>
        <v>#REF!</v>
      </c>
      <c r="T57" s="92">
        <f>Эсбыт!T58</f>
        <v>91</v>
      </c>
      <c r="U57" s="162"/>
      <c r="V57" s="168"/>
      <c r="W57" s="166"/>
      <c r="X57" s="167"/>
      <c r="Y57" s="169"/>
      <c r="Z57" s="170"/>
      <c r="AA57" s="169"/>
      <c r="AB57" s="170"/>
      <c r="AC57" s="171" t="e">
        <f t="shared" si="5"/>
        <v>#REF!</v>
      </c>
      <c r="AD57" s="172">
        <f t="shared" si="5"/>
        <v>91</v>
      </c>
      <c r="AE57" s="171" t="e">
        <f>AD57-AC57</f>
        <v>#REF!</v>
      </c>
      <c r="AF57" s="13"/>
      <c r="AG57" s="13"/>
      <c r="AH57" s="13"/>
      <c r="AI57" s="13"/>
      <c r="AJ57" s="13"/>
      <c r="AK57" s="15"/>
      <c r="AL57" s="16"/>
    </row>
    <row r="58" spans="2:38" ht="12.75" customHeight="1">
      <c r="B58" s="180">
        <f t="shared" si="1"/>
        <v>52</v>
      </c>
      <c r="C58" s="45" t="s">
        <v>20</v>
      </c>
      <c r="D58" s="153">
        <v>11638.3</v>
      </c>
      <c r="E58" s="203" t="e">
        <f>#REF!</f>
        <v>#REF!</v>
      </c>
      <c r="F58" s="196">
        <f>Эсбыт!F59</f>
        <v>488</v>
      </c>
      <c r="G58" s="203" t="e">
        <f>#REF!</f>
        <v>#REF!</v>
      </c>
      <c r="H58" s="196">
        <f>Эсбыт!H59</f>
        <v>840</v>
      </c>
      <c r="I58" s="203" t="e">
        <f>#REF!</f>
        <v>#REF!</v>
      </c>
      <c r="J58" s="85">
        <f>Эсбыт!J59</f>
        <v>778</v>
      </c>
      <c r="K58" s="54" t="e">
        <f>#REF!</f>
        <v>#REF!</v>
      </c>
      <c r="L58" s="93">
        <f>Эсбыт!L60</f>
        <v>800</v>
      </c>
      <c r="M58" s="216" t="e">
        <f>#REF!</f>
        <v>#REF!</v>
      </c>
      <c r="N58" s="92">
        <f>Эсбыт!N59</f>
        <v>619</v>
      </c>
      <c r="O58" s="54" t="e">
        <f>#REF!</f>
        <v>#REF!</v>
      </c>
      <c r="P58" s="95">
        <f>Эсбыт!P59</f>
        <v>963</v>
      </c>
      <c r="Q58" s="216" t="e">
        <f>#REF!</f>
        <v>#REF!</v>
      </c>
      <c r="R58" s="92">
        <f>Эсбыт!R59</f>
        <v>450</v>
      </c>
      <c r="S58" s="54" t="e">
        <f>#REF!</f>
        <v>#REF!</v>
      </c>
      <c r="T58" s="92">
        <f>Эсбыт!T59</f>
        <v>604</v>
      </c>
      <c r="U58" s="54"/>
      <c r="V58" s="60"/>
      <c r="W58" s="51"/>
      <c r="X58" s="66"/>
      <c r="Y58" s="47"/>
      <c r="Z58" s="37"/>
      <c r="AA58" s="47"/>
      <c r="AB58" s="37"/>
      <c r="AC58" s="31" t="e">
        <f t="shared" si="2"/>
        <v>#REF!</v>
      </c>
      <c r="AD58" s="30">
        <f t="shared" si="3"/>
        <v>5542</v>
      </c>
      <c r="AE58" s="31" t="e">
        <f t="shared" si="4"/>
        <v>#REF!</v>
      </c>
      <c r="AF58" s="13"/>
      <c r="AG58" s="13"/>
      <c r="AH58" s="13"/>
      <c r="AI58" s="13"/>
      <c r="AJ58" s="13"/>
      <c r="AK58" s="15"/>
      <c r="AL58" s="13"/>
    </row>
    <row r="59" spans="2:38" ht="12.75" customHeight="1">
      <c r="B59" s="180">
        <f t="shared" si="1"/>
        <v>53</v>
      </c>
      <c r="C59" s="45" t="s">
        <v>21</v>
      </c>
      <c r="D59" s="153">
        <v>9185</v>
      </c>
      <c r="E59" s="203" t="e">
        <f>#REF!</f>
        <v>#REF!</v>
      </c>
      <c r="F59" s="196">
        <f>Эсбыт!F60</f>
        <v>507</v>
      </c>
      <c r="G59" s="203" t="e">
        <f>#REF!</f>
        <v>#REF!</v>
      </c>
      <c r="H59" s="196">
        <f>Эсбыт!H60</f>
        <v>867</v>
      </c>
      <c r="I59" s="203" t="e">
        <f>#REF!</f>
        <v>#REF!</v>
      </c>
      <c r="J59" s="85">
        <f>Эсбыт!J60</f>
        <v>764</v>
      </c>
      <c r="K59" s="54" t="e">
        <f>#REF!</f>
        <v>#REF!</v>
      </c>
      <c r="L59" s="93">
        <f>Эсбыт!L61</f>
        <v>850</v>
      </c>
      <c r="M59" s="216" t="e">
        <f>#REF!</f>
        <v>#REF!</v>
      </c>
      <c r="N59" s="92">
        <f>Эсбыт!N60</f>
        <v>615</v>
      </c>
      <c r="O59" s="54" t="e">
        <f>#REF!</f>
        <v>#REF!</v>
      </c>
      <c r="P59" s="95">
        <f>Эсбыт!P60</f>
        <v>954</v>
      </c>
      <c r="Q59" s="216" t="e">
        <f>#REF!</f>
        <v>#REF!</v>
      </c>
      <c r="R59" s="92">
        <f>Эсбыт!R60</f>
        <v>452</v>
      </c>
      <c r="S59" s="54" t="e">
        <f>#REF!</f>
        <v>#REF!</v>
      </c>
      <c r="T59" s="92">
        <f>Эсбыт!T60</f>
        <v>624</v>
      </c>
      <c r="U59" s="54"/>
      <c r="V59" s="60"/>
      <c r="W59" s="51"/>
      <c r="X59" s="66"/>
      <c r="Y59" s="47"/>
      <c r="Z59" s="37"/>
      <c r="AA59" s="47"/>
      <c r="AB59" s="37"/>
      <c r="AC59" s="31" t="e">
        <f t="shared" si="2"/>
        <v>#REF!</v>
      </c>
      <c r="AD59" s="30">
        <f t="shared" si="3"/>
        <v>5633</v>
      </c>
      <c r="AE59" s="31" t="e">
        <f t="shared" si="4"/>
        <v>#REF!</v>
      </c>
      <c r="AF59" s="13"/>
      <c r="AG59" s="13"/>
      <c r="AH59" s="13"/>
      <c r="AI59" s="13"/>
      <c r="AJ59" s="13"/>
      <c r="AK59" s="15"/>
      <c r="AL59" s="16"/>
    </row>
    <row r="60" spans="2:38" ht="12.75" customHeight="1">
      <c r="B60" s="180">
        <f t="shared" si="1"/>
        <v>54</v>
      </c>
      <c r="C60" s="45" t="s">
        <v>22</v>
      </c>
      <c r="D60" s="153">
        <v>9190.4</v>
      </c>
      <c r="E60" s="203" t="e">
        <f>#REF!</f>
        <v>#REF!</v>
      </c>
      <c r="F60" s="196">
        <f>Эсбыт!F61</f>
        <v>498</v>
      </c>
      <c r="G60" s="203" t="e">
        <f>#REF!</f>
        <v>#REF!</v>
      </c>
      <c r="H60" s="196">
        <f>Эсбыт!H61</f>
        <v>858</v>
      </c>
      <c r="I60" s="203" t="e">
        <f>#REF!</f>
        <v>#REF!</v>
      </c>
      <c r="J60" s="85">
        <f>Эсбыт!J61</f>
        <v>796</v>
      </c>
      <c r="K60" s="54" t="e">
        <f>#REF!</f>
        <v>#REF!</v>
      </c>
      <c r="L60" s="93">
        <f>Эсбыт!L62</f>
        <v>947</v>
      </c>
      <c r="M60" s="216" t="e">
        <f>#REF!</f>
        <v>#REF!</v>
      </c>
      <c r="N60" s="92">
        <f>Эсбыт!N61</f>
        <v>629</v>
      </c>
      <c r="O60" s="54" t="e">
        <f>#REF!</f>
        <v>#REF!</v>
      </c>
      <c r="P60" s="95">
        <f>Эсбыт!P61</f>
        <v>900</v>
      </c>
      <c r="Q60" s="216" t="e">
        <f>#REF!</f>
        <v>#REF!</v>
      </c>
      <c r="R60" s="92">
        <f>Эсбыт!R61</f>
        <v>414</v>
      </c>
      <c r="S60" s="54" t="e">
        <f>#REF!</f>
        <v>#REF!</v>
      </c>
      <c r="T60" s="92">
        <f>Эсбыт!T61</f>
        <v>553</v>
      </c>
      <c r="U60" s="54"/>
      <c r="V60" s="60"/>
      <c r="W60" s="51"/>
      <c r="X60" s="66"/>
      <c r="Y60" s="47"/>
      <c r="Z60" s="37"/>
      <c r="AA60" s="47"/>
      <c r="AB60" s="37"/>
      <c r="AC60" s="31" t="e">
        <f t="shared" si="2"/>
        <v>#REF!</v>
      </c>
      <c r="AD60" s="30">
        <f t="shared" si="3"/>
        <v>5595</v>
      </c>
      <c r="AE60" s="31" t="e">
        <f t="shared" si="4"/>
        <v>#REF!</v>
      </c>
      <c r="AF60" s="13"/>
      <c r="AG60" s="13"/>
      <c r="AH60" s="13"/>
      <c r="AI60" s="13"/>
      <c r="AJ60" s="13"/>
      <c r="AK60" s="15"/>
      <c r="AL60" s="13"/>
    </row>
    <row r="61" spans="2:38" ht="12.75" customHeight="1">
      <c r="B61" s="180">
        <f t="shared" si="1"/>
        <v>55</v>
      </c>
      <c r="C61" s="45" t="s">
        <v>23</v>
      </c>
      <c r="D61" s="153">
        <v>9187.9</v>
      </c>
      <c r="E61" s="203" t="e">
        <f>#REF!</f>
        <v>#REF!</v>
      </c>
      <c r="F61" s="196">
        <f>Эсбыт!F62</f>
        <v>537</v>
      </c>
      <c r="G61" s="203" t="e">
        <f>#REF!</f>
        <v>#REF!</v>
      </c>
      <c r="H61" s="196">
        <f>Эсбыт!H62</f>
        <v>930</v>
      </c>
      <c r="I61" s="203" t="e">
        <f>#REF!</f>
        <v>#REF!</v>
      </c>
      <c r="J61" s="85">
        <f>Эсбыт!J62</f>
        <v>869</v>
      </c>
      <c r="K61" s="54" t="e">
        <f>#REF!</f>
        <v>#REF!</v>
      </c>
      <c r="L61" s="93">
        <f>Эсбыт!L63</f>
        <v>935</v>
      </c>
      <c r="M61" s="216" t="e">
        <f>#REF!</f>
        <v>#REF!</v>
      </c>
      <c r="N61" s="92">
        <f>Эсбыт!N62</f>
        <v>539</v>
      </c>
      <c r="O61" s="54" t="e">
        <f>#REF!</f>
        <v>#REF!</v>
      </c>
      <c r="P61" s="95">
        <f>Эсбыт!P62</f>
        <v>969</v>
      </c>
      <c r="Q61" s="216" t="e">
        <f>#REF!</f>
        <v>#REF!</v>
      </c>
      <c r="R61" s="92">
        <f>Эсбыт!R62</f>
        <v>466</v>
      </c>
      <c r="S61" s="54" t="e">
        <f>#REF!</f>
        <v>#REF!</v>
      </c>
      <c r="T61" s="92">
        <f>Эсбыт!T62</f>
        <v>646</v>
      </c>
      <c r="U61" s="54"/>
      <c r="V61" s="60"/>
      <c r="W61" s="51"/>
      <c r="X61" s="66"/>
      <c r="Y61" s="47"/>
      <c r="Z61" s="37"/>
      <c r="AA61" s="47"/>
      <c r="AB61" s="37"/>
      <c r="AC61" s="31" t="e">
        <f t="shared" si="2"/>
        <v>#REF!</v>
      </c>
      <c r="AD61" s="30">
        <f t="shared" si="3"/>
        <v>5891</v>
      </c>
      <c r="AE61" s="31" t="e">
        <f t="shared" si="4"/>
        <v>#REF!</v>
      </c>
      <c r="AF61" s="13"/>
      <c r="AG61" s="13"/>
      <c r="AH61" s="13"/>
      <c r="AI61" s="13"/>
      <c r="AJ61" s="13"/>
      <c r="AK61" s="15"/>
      <c r="AL61" s="16"/>
    </row>
    <row r="62" spans="2:38" ht="12.75" customHeight="1">
      <c r="B62" s="180">
        <f t="shared" si="1"/>
        <v>56</v>
      </c>
      <c r="C62" s="45" t="s">
        <v>24</v>
      </c>
      <c r="D62" s="153">
        <v>9187.1</v>
      </c>
      <c r="E62" s="203" t="e">
        <f>#REF!</f>
        <v>#REF!</v>
      </c>
      <c r="F62" s="196">
        <f>Эсбыт!F63</f>
        <v>541</v>
      </c>
      <c r="G62" s="203" t="e">
        <f>#REF!</f>
        <v>#REF!</v>
      </c>
      <c r="H62" s="196">
        <f>Эсбыт!H63</f>
        <v>945</v>
      </c>
      <c r="I62" s="203" t="e">
        <f>#REF!</f>
        <v>#REF!</v>
      </c>
      <c r="J62" s="85">
        <f>Эсбыт!J63</f>
        <v>863</v>
      </c>
      <c r="K62" s="54" t="e">
        <f>#REF!</f>
        <v>#REF!</v>
      </c>
      <c r="L62" s="93">
        <f>Эсбыт!L64</f>
        <v>508</v>
      </c>
      <c r="M62" s="216" t="e">
        <f>#REF!</f>
        <v>#REF!</v>
      </c>
      <c r="N62" s="92">
        <f>Эсбыт!N63</f>
        <v>738</v>
      </c>
      <c r="O62" s="54" t="e">
        <f>#REF!</f>
        <v>#REF!</v>
      </c>
      <c r="P62" s="95">
        <f>Эсбыт!P63</f>
        <v>1168</v>
      </c>
      <c r="Q62" s="216" t="e">
        <f>#REF!</f>
        <v>#REF!</v>
      </c>
      <c r="R62" s="92">
        <f>Эсбыт!R63</f>
        <v>549</v>
      </c>
      <c r="S62" s="54" t="e">
        <f>#REF!</f>
        <v>#REF!</v>
      </c>
      <c r="T62" s="92">
        <f>Эсбыт!T63</f>
        <v>765</v>
      </c>
      <c r="U62" s="47"/>
      <c r="V62" s="60"/>
      <c r="W62" s="49"/>
      <c r="X62" s="66"/>
      <c r="Y62" s="47"/>
      <c r="Z62" s="37"/>
      <c r="AA62" s="47"/>
      <c r="AB62" s="37"/>
      <c r="AC62" s="31" t="e">
        <f t="shared" si="2"/>
        <v>#REF!</v>
      </c>
      <c r="AD62" s="30">
        <f t="shared" si="3"/>
        <v>6077</v>
      </c>
      <c r="AE62" s="31" t="e">
        <f t="shared" si="4"/>
        <v>#REF!</v>
      </c>
      <c r="AF62" s="13"/>
      <c r="AG62" s="13"/>
      <c r="AH62" s="13"/>
      <c r="AI62" s="13"/>
      <c r="AJ62" s="13"/>
      <c r="AK62" s="15"/>
      <c r="AL62" s="16"/>
    </row>
    <row r="63" spans="2:38" ht="12.75" customHeight="1">
      <c r="B63" s="180">
        <f t="shared" si="1"/>
        <v>57</v>
      </c>
      <c r="C63" s="45" t="s">
        <v>25</v>
      </c>
      <c r="D63" s="153">
        <v>6886.8</v>
      </c>
      <c r="E63" s="203" t="e">
        <f>#REF!</f>
        <v>#REF!</v>
      </c>
      <c r="F63" s="196">
        <f>Эсбыт!F64</f>
        <v>285</v>
      </c>
      <c r="G63" s="203" t="e">
        <f>#REF!</f>
        <v>#REF!</v>
      </c>
      <c r="H63" s="196">
        <f>Эсбыт!H64</f>
        <v>487</v>
      </c>
      <c r="I63" s="203" t="e">
        <f>#REF!</f>
        <v>#REF!</v>
      </c>
      <c r="J63" s="85">
        <f>Эсбыт!J64</f>
        <v>464</v>
      </c>
      <c r="K63" s="54" t="e">
        <f>#REF!</f>
        <v>#REF!</v>
      </c>
      <c r="L63" s="93">
        <f>Эсбыт!L65</f>
        <v>359</v>
      </c>
      <c r="M63" s="216" t="e">
        <f>#REF!</f>
        <v>#REF!</v>
      </c>
      <c r="N63" s="92">
        <f>Эсбыт!N64</f>
        <v>377</v>
      </c>
      <c r="O63" s="54" t="e">
        <f>#REF!</f>
        <v>#REF!</v>
      </c>
      <c r="P63" s="95">
        <f>Эсбыт!P64</f>
        <v>483</v>
      </c>
      <c r="Q63" s="216" t="e">
        <f>#REF!</f>
        <v>#REF!</v>
      </c>
      <c r="R63" s="92">
        <f>Эсбыт!R64</f>
        <v>235</v>
      </c>
      <c r="S63" s="54" t="e">
        <f>#REF!</f>
        <v>#REF!</v>
      </c>
      <c r="T63" s="92">
        <f>Эсбыт!T64</f>
        <v>321</v>
      </c>
      <c r="U63" s="47"/>
      <c r="V63" s="60"/>
      <c r="W63" s="49"/>
      <c r="X63" s="66"/>
      <c r="Y63" s="47"/>
      <c r="Z63" s="37"/>
      <c r="AA63" s="47"/>
      <c r="AB63" s="37"/>
      <c r="AC63" s="31" t="e">
        <f t="shared" si="2"/>
        <v>#REF!</v>
      </c>
      <c r="AD63" s="30">
        <f t="shared" si="3"/>
        <v>3011</v>
      </c>
      <c r="AE63" s="31" t="e">
        <f t="shared" si="4"/>
        <v>#REF!</v>
      </c>
      <c r="AF63" s="13"/>
      <c r="AG63" s="13"/>
      <c r="AH63" s="13"/>
      <c r="AI63" s="13"/>
      <c r="AJ63" s="13"/>
      <c r="AK63" s="15"/>
      <c r="AL63" s="16"/>
    </row>
    <row r="64" spans="2:38" ht="12.75" customHeight="1">
      <c r="B64" s="180">
        <f t="shared" si="1"/>
        <v>58</v>
      </c>
      <c r="C64" s="191" t="s">
        <v>26</v>
      </c>
      <c r="D64" s="156">
        <v>4261.1</v>
      </c>
      <c r="E64" s="206" t="e">
        <f>#REF!</f>
        <v>#REF!</v>
      </c>
      <c r="F64" s="199">
        <f>Эсбыт!F65</f>
        <v>224</v>
      </c>
      <c r="G64" s="203" t="e">
        <f>#REF!</f>
        <v>#REF!</v>
      </c>
      <c r="H64" s="196">
        <f>Эсбыт!H65</f>
        <v>384</v>
      </c>
      <c r="I64" s="203" t="e">
        <f>#REF!</f>
        <v>#REF!</v>
      </c>
      <c r="J64" s="85">
        <f>Эсбыт!J65</f>
        <v>367</v>
      </c>
      <c r="K64" s="54" t="e">
        <f>#REF!</f>
        <v>#REF!</v>
      </c>
      <c r="L64" s="93">
        <f>Эсбыт!L66</f>
        <v>510</v>
      </c>
      <c r="M64" s="216" t="e">
        <f>#REF!</f>
        <v>#REF!</v>
      </c>
      <c r="N64" s="92">
        <f>Эсбыт!N65</f>
        <v>254</v>
      </c>
      <c r="O64" s="54" t="e">
        <f>#REF!</f>
        <v>#REF!</v>
      </c>
      <c r="P64" s="95">
        <f>Эсбыт!P65</f>
        <v>322</v>
      </c>
      <c r="Q64" s="216" t="e">
        <f>#REF!</f>
        <v>#REF!</v>
      </c>
      <c r="R64" s="92">
        <f>Эсбыт!R65</f>
        <v>151</v>
      </c>
      <c r="S64" s="54" t="e">
        <f>#REF!</f>
        <v>#REF!</v>
      </c>
      <c r="T64" s="92">
        <f>Эсбыт!T65</f>
        <v>207</v>
      </c>
      <c r="U64" s="83"/>
      <c r="V64" s="82"/>
      <c r="W64" s="55"/>
      <c r="X64" s="62"/>
      <c r="Y64" s="84"/>
      <c r="Z64" s="80"/>
      <c r="AA64" s="57"/>
      <c r="AB64" s="86"/>
      <c r="AC64" s="31" t="e">
        <f t="shared" si="2"/>
        <v>#REF!</v>
      </c>
      <c r="AD64" s="87">
        <f t="shared" si="3"/>
        <v>2419</v>
      </c>
      <c r="AE64" s="31" t="e">
        <f t="shared" si="4"/>
        <v>#REF!</v>
      </c>
      <c r="AF64" s="15"/>
      <c r="AG64" s="13"/>
      <c r="AH64" s="13"/>
      <c r="AI64" s="13"/>
      <c r="AJ64" s="13"/>
      <c r="AK64" s="13"/>
      <c r="AL64" s="13"/>
    </row>
    <row r="65" spans="2:38" ht="12.75" customHeight="1">
      <c r="B65" s="180">
        <f t="shared" si="1"/>
        <v>59</v>
      </c>
      <c r="C65" s="190" t="s">
        <v>85</v>
      </c>
      <c r="D65" s="79">
        <v>14015.8</v>
      </c>
      <c r="E65" s="205"/>
      <c r="F65" s="198"/>
      <c r="G65" s="205" t="e">
        <f>#REF!</f>
        <v>#REF!</v>
      </c>
      <c r="H65" s="198">
        <f>Эсбыт!H66</f>
        <v>60</v>
      </c>
      <c r="I65" s="205" t="e">
        <f>#REF!</f>
        <v>#REF!</v>
      </c>
      <c r="J65" s="94">
        <f>Эсбыт!J66</f>
        <v>258</v>
      </c>
      <c r="K65" s="55" t="e">
        <f>#REF!</f>
        <v>#REF!</v>
      </c>
      <c r="L65" s="146">
        <f>Эсбыт!L67</f>
        <v>230</v>
      </c>
      <c r="M65" s="55" t="e">
        <f>#REF!</f>
        <v>#REF!</v>
      </c>
      <c r="N65" s="146">
        <f>Эсбыт!N66</f>
        <v>368</v>
      </c>
      <c r="O65" s="55" t="e">
        <f>#REF!</f>
        <v>#REF!</v>
      </c>
      <c r="P65" s="117">
        <f>Эсбыт!P66</f>
        <v>486</v>
      </c>
      <c r="Q65" s="55" t="e">
        <f>#REF!</f>
        <v>#REF!</v>
      </c>
      <c r="R65" s="146">
        <f>Эсбыт!R66</f>
        <v>270</v>
      </c>
      <c r="S65" s="54" t="e">
        <f>#REF!</f>
        <v>#REF!</v>
      </c>
      <c r="T65" s="92">
        <f>Эсбыт!T66</f>
        <v>465</v>
      </c>
      <c r="U65" s="55"/>
      <c r="V65" s="62"/>
      <c r="W65" s="55"/>
      <c r="X65" s="62"/>
      <c r="Y65" s="49"/>
      <c r="Z65" s="147"/>
      <c r="AA65" s="57"/>
      <c r="AB65" s="178"/>
      <c r="AC65" s="118" t="e">
        <f t="shared" si="2"/>
        <v>#REF!</v>
      </c>
      <c r="AD65" s="148">
        <f t="shared" si="3"/>
        <v>2137</v>
      </c>
      <c r="AE65" s="118" t="e">
        <f t="shared" si="4"/>
        <v>#REF!</v>
      </c>
      <c r="AF65" s="15"/>
      <c r="AG65" s="13"/>
      <c r="AH65" s="13"/>
      <c r="AI65" s="13"/>
      <c r="AJ65" s="13"/>
      <c r="AK65" s="13"/>
      <c r="AL65" s="13"/>
    </row>
    <row r="66" spans="2:38" ht="12.75" customHeight="1">
      <c r="B66" s="180">
        <f t="shared" si="1"/>
        <v>60</v>
      </c>
      <c r="C66" s="74" t="s">
        <v>86</v>
      </c>
      <c r="D66" s="78">
        <v>28893.1</v>
      </c>
      <c r="E66" s="203"/>
      <c r="F66" s="196"/>
      <c r="G66" s="203" t="e">
        <f>#REF!</f>
        <v>#REF!</v>
      </c>
      <c r="H66" s="196">
        <f>Эсбыт!H67</f>
        <v>12</v>
      </c>
      <c r="I66" s="203" t="e">
        <f>#REF!</f>
        <v>#REF!</v>
      </c>
      <c r="J66" s="85">
        <f>Эсбыт!J67</f>
        <v>49</v>
      </c>
      <c r="K66" s="54" t="e">
        <f>#REF!</f>
        <v>#REF!</v>
      </c>
      <c r="L66" s="92" t="e">
        <f>Эсбыт!#REF!</f>
        <v>#REF!</v>
      </c>
      <c r="M66" s="216" t="e">
        <f>#REF!</f>
        <v>#REF!</v>
      </c>
      <c r="N66" s="92">
        <f>Эсбыт!N67</f>
        <v>120</v>
      </c>
      <c r="O66" s="54" t="e">
        <f>#REF!</f>
        <v>#REF!</v>
      </c>
      <c r="P66" s="95">
        <f>Эсбыт!P67</f>
        <v>231</v>
      </c>
      <c r="Q66" s="216" t="e">
        <f>#REF!</f>
        <v>#REF!</v>
      </c>
      <c r="R66" s="92">
        <f>Эсбыт!R67</f>
        <v>161</v>
      </c>
      <c r="S66" s="54" t="e">
        <f>#REF!</f>
        <v>#REF!</v>
      </c>
      <c r="T66" s="92">
        <f>Эсбыт!T67</f>
        <v>262</v>
      </c>
      <c r="U66" s="55"/>
      <c r="V66" s="62"/>
      <c r="W66" s="55"/>
      <c r="X66" s="62"/>
      <c r="Y66" s="57"/>
      <c r="Z66" s="179"/>
      <c r="AA66" s="57"/>
      <c r="AB66" s="86"/>
      <c r="AC66" s="31" t="e">
        <f t="shared" si="2"/>
        <v>#REF!</v>
      </c>
      <c r="AD66" s="87" t="e">
        <f t="shared" si="3"/>
        <v>#REF!</v>
      </c>
      <c r="AE66" s="31" t="e">
        <f t="shared" si="4"/>
        <v>#REF!</v>
      </c>
      <c r="AF66" s="15"/>
      <c r="AG66" s="13"/>
      <c r="AH66" s="13"/>
      <c r="AI66" s="13"/>
      <c r="AJ66" s="13"/>
      <c r="AK66" s="13"/>
      <c r="AL66" s="13"/>
    </row>
    <row r="67" spans="2:38" ht="12.75" customHeight="1">
      <c r="B67" s="180">
        <f t="shared" si="1"/>
        <v>61</v>
      </c>
      <c r="C67" s="74" t="s">
        <v>90</v>
      </c>
      <c r="D67" s="151">
        <v>12672.5</v>
      </c>
      <c r="E67" s="203"/>
      <c r="F67" s="196"/>
      <c r="G67" s="203"/>
      <c r="H67" s="196"/>
      <c r="I67" s="203"/>
      <c r="J67" s="85"/>
      <c r="K67" s="54"/>
      <c r="L67" s="92"/>
      <c r="M67" s="216"/>
      <c r="N67" s="92"/>
      <c r="O67" s="54"/>
      <c r="P67" s="95"/>
      <c r="Q67" s="216"/>
      <c r="R67" s="92"/>
      <c r="S67" s="54" t="e">
        <f>#REF!</f>
        <v>#REF!</v>
      </c>
      <c r="T67" s="92">
        <f>Эсбыт!T68</f>
        <v>131</v>
      </c>
      <c r="U67" s="55"/>
      <c r="V67" s="117"/>
      <c r="W67" s="55"/>
      <c r="X67" s="117"/>
      <c r="Y67" s="57"/>
      <c r="Z67" s="86"/>
      <c r="AA67" s="57"/>
      <c r="AB67" s="86"/>
      <c r="AC67" s="31" t="e">
        <f t="shared" si="2"/>
        <v>#REF!</v>
      </c>
      <c r="AD67" s="87">
        <f t="shared" si="3"/>
        <v>131</v>
      </c>
      <c r="AE67" s="31" t="e">
        <f t="shared" si="4"/>
        <v>#REF!</v>
      </c>
      <c r="AF67" s="15"/>
      <c r="AG67" s="13"/>
      <c r="AH67" s="13"/>
      <c r="AI67" s="13"/>
      <c r="AJ67" s="13"/>
      <c r="AK67" s="13"/>
      <c r="AL67" s="13"/>
    </row>
    <row r="68" spans="2:38" ht="12.75" customHeight="1" thickBot="1">
      <c r="B68" s="180">
        <f t="shared" si="1"/>
        <v>62</v>
      </c>
      <c r="C68" s="81" t="s">
        <v>91</v>
      </c>
      <c r="D68" s="192">
        <v>11094.5</v>
      </c>
      <c r="E68" s="207"/>
      <c r="F68" s="200"/>
      <c r="G68" s="207"/>
      <c r="H68" s="200"/>
      <c r="I68" s="207"/>
      <c r="J68" s="173"/>
      <c r="K68" s="212"/>
      <c r="L68" s="174"/>
      <c r="M68" s="217"/>
      <c r="N68" s="174"/>
      <c r="O68" s="212"/>
      <c r="P68" s="175"/>
      <c r="Q68" s="217"/>
      <c r="R68" s="174"/>
      <c r="S68" s="219" t="e">
        <f>#REF!</f>
        <v>#REF!</v>
      </c>
      <c r="T68" s="218">
        <f>Эсбыт!T69</f>
        <v>40</v>
      </c>
      <c r="U68" s="220"/>
      <c r="V68" s="176"/>
      <c r="W68" s="221"/>
      <c r="X68" s="176"/>
      <c r="Y68" s="222"/>
      <c r="Z68" s="177"/>
      <c r="AA68" s="222"/>
      <c r="AB68" s="177"/>
      <c r="AC68" s="31" t="e">
        <f t="shared" si="2"/>
        <v>#REF!</v>
      </c>
      <c r="AD68" s="87">
        <f t="shared" si="3"/>
        <v>40</v>
      </c>
      <c r="AE68" s="31" t="e">
        <f t="shared" si="4"/>
        <v>#REF!</v>
      </c>
      <c r="AF68" s="15"/>
      <c r="AG68" s="13"/>
      <c r="AH68" s="13"/>
      <c r="AI68" s="13"/>
      <c r="AJ68" s="13"/>
      <c r="AK68" s="13"/>
      <c r="AL68" s="13"/>
    </row>
    <row r="69" spans="2:32" ht="15.75" customHeight="1" thickBot="1">
      <c r="B69" s="336" t="s">
        <v>68</v>
      </c>
      <c r="C69" s="337"/>
      <c r="D69" s="157">
        <f aca="true" t="shared" si="6" ref="D69:R69">SUM(D7:D66)</f>
        <v>606163.3</v>
      </c>
      <c r="E69" s="88" t="e">
        <f t="shared" si="6"/>
        <v>#REF!</v>
      </c>
      <c r="F69" s="98">
        <f t="shared" si="6"/>
        <v>25475</v>
      </c>
      <c r="G69" s="100" t="e">
        <f t="shared" si="6"/>
        <v>#REF!</v>
      </c>
      <c r="H69" s="12">
        <f t="shared" si="6"/>
        <v>44481</v>
      </c>
      <c r="I69" s="101" t="e">
        <f t="shared" si="6"/>
        <v>#REF!</v>
      </c>
      <c r="J69" s="101">
        <f t="shared" si="6"/>
        <v>41141</v>
      </c>
      <c r="K69" s="88" t="e">
        <f t="shared" si="6"/>
        <v>#REF!</v>
      </c>
      <c r="L69" s="98" t="e">
        <f t="shared" si="6"/>
        <v>#REF!</v>
      </c>
      <c r="M69" s="88" t="e">
        <f t="shared" si="6"/>
        <v>#REF!</v>
      </c>
      <c r="N69" s="98">
        <f>SUM(N7:N66)</f>
        <v>35894</v>
      </c>
      <c r="O69" s="88" t="e">
        <f t="shared" si="6"/>
        <v>#REF!</v>
      </c>
      <c r="P69" s="88">
        <f t="shared" si="6"/>
        <v>44211</v>
      </c>
      <c r="Q69" s="88" t="e">
        <f t="shared" si="6"/>
        <v>#REF!</v>
      </c>
      <c r="R69" s="88">
        <f t="shared" si="6"/>
        <v>21120</v>
      </c>
      <c r="S69" s="88" t="e">
        <f>SUM(S7:S68)</f>
        <v>#REF!</v>
      </c>
      <c r="T69" s="102">
        <f aca="true" t="shared" si="7" ref="T69:AC69">SUM(T7:T68)</f>
        <v>27656</v>
      </c>
      <c r="U69" s="88">
        <f t="shared" si="7"/>
        <v>0</v>
      </c>
      <c r="V69" s="88">
        <f t="shared" si="7"/>
        <v>0</v>
      </c>
      <c r="W69" s="88">
        <f t="shared" si="7"/>
        <v>0</v>
      </c>
      <c r="X69" s="88">
        <f t="shared" si="7"/>
        <v>0</v>
      </c>
      <c r="Y69" s="88">
        <f t="shared" si="7"/>
        <v>0</v>
      </c>
      <c r="Z69" s="88">
        <f t="shared" si="7"/>
        <v>0</v>
      </c>
      <c r="AA69" s="88">
        <f t="shared" si="7"/>
        <v>0</v>
      </c>
      <c r="AB69" s="88">
        <f t="shared" si="7"/>
        <v>0</v>
      </c>
      <c r="AC69" s="88" t="e">
        <f t="shared" si="7"/>
        <v>#REF!</v>
      </c>
      <c r="AD69" s="102" t="e">
        <f>SUM(AD7:AD68)</f>
        <v>#REF!</v>
      </c>
      <c r="AE69" s="102" t="e">
        <f>SUM(AE7:AE68)</f>
        <v>#REF!</v>
      </c>
      <c r="AF69" s="103" t="e">
        <f>AD69-AC69</f>
        <v>#REF!</v>
      </c>
    </row>
    <row r="70" spans="2:38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:38" ht="25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mergeCells count="13">
    <mergeCell ref="E5:F5"/>
    <mergeCell ref="I5:J5"/>
    <mergeCell ref="K5:L5"/>
    <mergeCell ref="U5:V5"/>
    <mergeCell ref="W5:X5"/>
    <mergeCell ref="Y5:Z5"/>
    <mergeCell ref="AA5:AB5"/>
    <mergeCell ref="B69:C69"/>
    <mergeCell ref="M5:N5"/>
    <mergeCell ref="O5:P5"/>
    <mergeCell ref="Q5:R5"/>
    <mergeCell ref="S5:T5"/>
    <mergeCell ref="G5:H5"/>
  </mergeCells>
  <printOptions/>
  <pageMargins left="0.16" right="0.16" top="0.35" bottom="0.26" header="0.36" footer="0.2"/>
  <pageSetup horizontalDpi="600" verticalDpi="600" orientation="landscape" paperSize="9" scale="96" r:id="rId1"/>
  <ignoredErrors>
    <ignoredError sqref="C7:C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G6" sqref="AG6"/>
    </sheetView>
  </sheetViews>
  <sheetFormatPr defaultColWidth="9.00390625" defaultRowHeight="12.75"/>
  <cols>
    <col min="1" max="1" width="4.625" style="0" customWidth="1"/>
    <col min="2" max="2" width="3.375" style="0" customWidth="1"/>
    <col min="3" max="3" width="13.625" style="0" customWidth="1"/>
    <col min="4" max="4" width="9.75390625" style="0" hidden="1" customWidth="1"/>
    <col min="5" max="5" width="6.25390625" style="0" customWidth="1"/>
    <col min="6" max="6" width="6.125" style="0" customWidth="1"/>
    <col min="7" max="7" width="6.00390625" style="0" customWidth="1"/>
    <col min="8" max="9" width="5.75390625" style="0" customWidth="1"/>
    <col min="10" max="10" width="7.375" style="0" customWidth="1"/>
    <col min="11" max="11" width="5.75390625" style="0" customWidth="1"/>
    <col min="12" max="12" width="7.125" style="0" customWidth="1"/>
    <col min="13" max="13" width="6.125" style="0" customWidth="1"/>
    <col min="14" max="14" width="6.625" style="0" customWidth="1"/>
    <col min="15" max="15" width="5.875" style="0" customWidth="1"/>
    <col min="16" max="16" width="6.125" style="0" customWidth="1"/>
    <col min="17" max="17" width="6.00390625" style="0" customWidth="1"/>
    <col min="18" max="19" width="6.25390625" style="0" customWidth="1"/>
    <col min="20" max="20" width="6.00390625" style="0" customWidth="1"/>
    <col min="21" max="21" width="6.125" style="0" customWidth="1"/>
    <col min="22" max="22" width="6.25390625" style="0" customWidth="1"/>
    <col min="23" max="23" width="5.875" style="0" customWidth="1"/>
    <col min="24" max="25" width="6.00390625" style="0" customWidth="1"/>
    <col min="26" max="26" width="6.875" style="0" customWidth="1"/>
    <col min="27" max="27" width="6.75390625" style="0" hidden="1" customWidth="1"/>
    <col min="28" max="28" width="4.75390625" style="0" hidden="1" customWidth="1"/>
    <col min="29" max="29" width="0" style="0" hidden="1" customWidth="1"/>
    <col min="30" max="30" width="9.375" style="0" hidden="1" customWidth="1"/>
    <col min="31" max="31" width="6.75390625" style="0" hidden="1" customWidth="1"/>
    <col min="32" max="32" width="7.125" style="0" hidden="1" customWidth="1"/>
  </cols>
  <sheetData>
    <row r="1" spans="3:32" ht="28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4"/>
      <c r="U1" s="24"/>
      <c r="V1" s="1"/>
      <c r="W1" s="1"/>
      <c r="X1" s="1"/>
      <c r="Y1" s="1"/>
      <c r="Z1" s="1"/>
      <c r="AA1" s="1"/>
      <c r="AB1" s="1"/>
      <c r="AC1" s="1"/>
      <c r="AD1" s="1"/>
      <c r="AE1" s="1"/>
      <c r="AF1" s="5"/>
    </row>
    <row r="2" spans="1:32" ht="24.75" customHeight="1">
      <c r="A2" s="340" t="s">
        <v>99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1"/>
      <c r="AB2" s="1"/>
      <c r="AC2" s="1"/>
      <c r="AD2" s="1"/>
      <c r="AE2" s="1"/>
      <c r="AF2" s="1"/>
    </row>
    <row r="3" spans="4:5" ht="23.25" customHeight="1" thickBot="1">
      <c r="D3" s="1"/>
      <c r="E3" s="1"/>
    </row>
    <row r="4" spans="2:32" ht="15" customHeight="1" thickBot="1">
      <c r="B4" s="344" t="s">
        <v>39</v>
      </c>
      <c r="C4" s="344" t="s">
        <v>41</v>
      </c>
      <c r="D4" s="1"/>
      <c r="E4" s="342" t="s">
        <v>71</v>
      </c>
      <c r="F4" s="343"/>
      <c r="G4" s="342" t="s">
        <v>27</v>
      </c>
      <c r="H4" s="343"/>
      <c r="I4" s="342" t="s">
        <v>28</v>
      </c>
      <c r="J4" s="343"/>
      <c r="K4" s="342" t="s">
        <v>29</v>
      </c>
      <c r="L4" s="343"/>
      <c r="M4" s="342" t="s">
        <v>30</v>
      </c>
      <c r="N4" s="343"/>
      <c r="O4" s="342" t="s">
        <v>31</v>
      </c>
      <c r="P4" s="343"/>
      <c r="Q4" s="342" t="s">
        <v>32</v>
      </c>
      <c r="R4" s="343"/>
      <c r="S4" s="342" t="s">
        <v>33</v>
      </c>
      <c r="T4" s="343"/>
      <c r="U4" s="342" t="s">
        <v>34</v>
      </c>
      <c r="V4" s="343"/>
      <c r="W4" s="342" t="s">
        <v>35</v>
      </c>
      <c r="X4" s="343"/>
      <c r="Y4" s="342" t="s">
        <v>36</v>
      </c>
      <c r="Z4" s="343"/>
      <c r="AA4" s="342" t="s">
        <v>37</v>
      </c>
      <c r="AB4" s="343"/>
      <c r="AC4" s="342" t="s">
        <v>96</v>
      </c>
      <c r="AD4" s="343"/>
      <c r="AE4" s="342" t="s">
        <v>95</v>
      </c>
      <c r="AF4" s="343"/>
    </row>
    <row r="5" spans="2:32" ht="26.25" thickBot="1">
      <c r="B5" s="345"/>
      <c r="C5" s="345"/>
      <c r="D5" s="240" t="s">
        <v>43</v>
      </c>
      <c r="E5" s="242">
        <v>2011</v>
      </c>
      <c r="F5" s="287">
        <v>2012</v>
      </c>
      <c r="G5" s="242">
        <v>2011</v>
      </c>
      <c r="H5" s="287">
        <v>2012</v>
      </c>
      <c r="I5" s="242">
        <v>2011</v>
      </c>
      <c r="J5" s="287">
        <v>2012</v>
      </c>
      <c r="K5" s="242">
        <v>2011</v>
      </c>
      <c r="L5" s="287">
        <v>2012</v>
      </c>
      <c r="M5" s="242">
        <v>2011</v>
      </c>
      <c r="N5" s="287">
        <v>2012</v>
      </c>
      <c r="O5" s="242">
        <v>2011</v>
      </c>
      <c r="P5" s="287">
        <v>2012</v>
      </c>
      <c r="Q5" s="242">
        <v>2011</v>
      </c>
      <c r="R5" s="287">
        <v>2012</v>
      </c>
      <c r="S5" s="242">
        <v>2011</v>
      </c>
      <c r="T5" s="302">
        <v>2012</v>
      </c>
      <c r="U5" s="242">
        <v>2011</v>
      </c>
      <c r="V5" s="287">
        <v>2012</v>
      </c>
      <c r="W5" s="242">
        <v>2011</v>
      </c>
      <c r="X5" s="287">
        <v>2012</v>
      </c>
      <c r="Y5" s="242">
        <v>2011</v>
      </c>
      <c r="Z5" s="287">
        <v>2012</v>
      </c>
      <c r="AA5" s="242">
        <v>2011</v>
      </c>
      <c r="AB5" s="287">
        <v>2012</v>
      </c>
      <c r="AC5" s="242">
        <v>2011</v>
      </c>
      <c r="AD5" s="287">
        <v>2012</v>
      </c>
      <c r="AE5" s="250">
        <v>2011</v>
      </c>
      <c r="AF5" s="251">
        <v>2012</v>
      </c>
    </row>
    <row r="6" spans="2:32" ht="12.75">
      <c r="B6" s="226">
        <v>1</v>
      </c>
      <c r="C6" s="159" t="s">
        <v>78</v>
      </c>
      <c r="D6" s="228">
        <v>6457.6</v>
      </c>
      <c r="E6" s="268"/>
      <c r="F6" s="275">
        <v>340</v>
      </c>
      <c r="G6" s="259"/>
      <c r="H6" s="291">
        <v>585</v>
      </c>
      <c r="I6" s="96"/>
      <c r="J6" s="291">
        <v>542</v>
      </c>
      <c r="K6" s="96"/>
      <c r="L6" s="296">
        <v>622</v>
      </c>
      <c r="M6" s="96"/>
      <c r="N6" s="296">
        <v>542</v>
      </c>
      <c r="O6" s="96"/>
      <c r="P6" s="301">
        <f>504+158</f>
        <v>662</v>
      </c>
      <c r="Q6" s="96"/>
      <c r="R6" s="291">
        <v>298</v>
      </c>
      <c r="S6" s="96"/>
      <c r="T6" s="303">
        <v>310</v>
      </c>
      <c r="U6" s="65">
        <v>179</v>
      </c>
      <c r="V6" s="291">
        <f>285+158</f>
        <v>443</v>
      </c>
      <c r="W6" s="65">
        <v>566</v>
      </c>
      <c r="X6" s="291">
        <v>511</v>
      </c>
      <c r="Y6" s="264">
        <v>637</v>
      </c>
      <c r="Z6" s="313">
        <v>590</v>
      </c>
      <c r="AA6" s="65">
        <v>654</v>
      </c>
      <c r="AB6" s="313"/>
      <c r="AC6" s="72"/>
      <c r="AD6" s="313"/>
      <c r="AE6" s="323">
        <f>E6+G6+I6+K6+M6+O6+Q6+S6+U6+W6+Y6+AA6+AC6</f>
        <v>2036</v>
      </c>
      <c r="AF6" s="324">
        <f>F6+H6+J6+L6+N6+P6+R6+T6+V6+X6+Z6+AB6+AD6</f>
        <v>5445</v>
      </c>
    </row>
    <row r="7" spans="2:32" ht="12.75">
      <c r="B7" s="227">
        <f>B6+1</f>
        <v>2</v>
      </c>
      <c r="C7" s="160" t="s">
        <v>79</v>
      </c>
      <c r="D7" s="229">
        <v>12688.5</v>
      </c>
      <c r="E7" s="269"/>
      <c r="F7" s="276">
        <v>700</v>
      </c>
      <c r="G7" s="243"/>
      <c r="H7" s="276">
        <v>1160</v>
      </c>
      <c r="I7" s="90"/>
      <c r="J7" s="276">
        <v>1155</v>
      </c>
      <c r="K7" s="90"/>
      <c r="L7" s="297">
        <v>1125</v>
      </c>
      <c r="M7" s="90"/>
      <c r="N7" s="297">
        <v>915</v>
      </c>
      <c r="O7" s="90"/>
      <c r="P7" s="297">
        <f>901+268</f>
        <v>1169</v>
      </c>
      <c r="Q7" s="90"/>
      <c r="R7" s="276">
        <v>443</v>
      </c>
      <c r="S7" s="90"/>
      <c r="T7" s="304">
        <v>529</v>
      </c>
      <c r="U7" s="66">
        <v>320</v>
      </c>
      <c r="V7" s="276">
        <f>490+292</f>
        <v>782</v>
      </c>
      <c r="W7" s="66">
        <v>991</v>
      </c>
      <c r="X7" s="276">
        <v>909</v>
      </c>
      <c r="Y7" s="267">
        <v>1010</v>
      </c>
      <c r="Z7" s="314">
        <v>978</v>
      </c>
      <c r="AA7" s="66">
        <v>979</v>
      </c>
      <c r="AB7" s="314"/>
      <c r="AC7" s="73"/>
      <c r="AD7" s="314"/>
      <c r="AE7" s="325">
        <f aca="true" t="shared" si="0" ref="AE7:AE69">E7+G7+I7+K7+M7+O7+Q7+S7+U7+W7+Y7+AA7+AC7</f>
        <v>3300</v>
      </c>
      <c r="AF7" s="326">
        <f aca="true" t="shared" si="1" ref="AF7:AF69">F7+H7+J7+L7+N7+P7+R7+T7+V7+X7+Z7+AB7+AD7</f>
        <v>9865</v>
      </c>
    </row>
    <row r="8" spans="2:32" ht="12.75">
      <c r="B8" s="227">
        <f aca="true" t="shared" si="2" ref="B8:B69">B7+1</f>
        <v>3</v>
      </c>
      <c r="C8" s="160" t="s">
        <v>80</v>
      </c>
      <c r="D8" s="230">
        <v>11181.7</v>
      </c>
      <c r="E8" s="269"/>
      <c r="F8" s="276">
        <v>349</v>
      </c>
      <c r="G8" s="288"/>
      <c r="H8" s="276">
        <v>681</v>
      </c>
      <c r="I8" s="90"/>
      <c r="J8" s="276">
        <v>574</v>
      </c>
      <c r="K8" s="90"/>
      <c r="L8" s="297">
        <v>625</v>
      </c>
      <c r="M8" s="90"/>
      <c r="N8" s="297">
        <v>576</v>
      </c>
      <c r="O8" s="90"/>
      <c r="P8" s="297">
        <f>578+201</f>
        <v>779</v>
      </c>
      <c r="Q8" s="90"/>
      <c r="R8" s="276">
        <v>394</v>
      </c>
      <c r="S8" s="90"/>
      <c r="T8" s="304">
        <v>311</v>
      </c>
      <c r="U8" s="260"/>
      <c r="V8" s="276">
        <v>521</v>
      </c>
      <c r="W8" s="66">
        <v>294</v>
      </c>
      <c r="X8" s="276">
        <v>633</v>
      </c>
      <c r="Y8" s="267">
        <v>481</v>
      </c>
      <c r="Z8" s="315">
        <v>700</v>
      </c>
      <c r="AA8" s="66">
        <v>544</v>
      </c>
      <c r="AB8" s="315"/>
      <c r="AC8" s="75"/>
      <c r="AD8" s="315"/>
      <c r="AE8" s="325">
        <f t="shared" si="0"/>
        <v>1319</v>
      </c>
      <c r="AF8" s="326">
        <f t="shared" si="1"/>
        <v>6143</v>
      </c>
    </row>
    <row r="9" spans="2:32" ht="12.75" customHeight="1">
      <c r="B9" s="227">
        <f t="shared" si="2"/>
        <v>4</v>
      </c>
      <c r="C9" s="252" t="s">
        <v>67</v>
      </c>
      <c r="D9" s="231">
        <v>10509.4</v>
      </c>
      <c r="E9" s="270"/>
      <c r="F9" s="277">
        <v>136</v>
      </c>
      <c r="G9" s="289">
        <v>153.686</v>
      </c>
      <c r="H9" s="277">
        <v>270</v>
      </c>
      <c r="I9" s="289">
        <v>120.77</v>
      </c>
      <c r="J9" s="277">
        <v>341</v>
      </c>
      <c r="K9" s="265">
        <v>351</v>
      </c>
      <c r="L9" s="277">
        <v>287</v>
      </c>
      <c r="M9" s="265">
        <v>158</v>
      </c>
      <c r="N9" s="277">
        <v>253</v>
      </c>
      <c r="O9" s="260">
        <v>211</v>
      </c>
      <c r="P9" s="277">
        <f>240+67</f>
        <v>307</v>
      </c>
      <c r="Q9" s="260">
        <v>99</v>
      </c>
      <c r="R9" s="277">
        <v>138</v>
      </c>
      <c r="S9" s="260">
        <v>173</v>
      </c>
      <c r="T9" s="305">
        <v>123</v>
      </c>
      <c r="U9" s="260">
        <v>166</v>
      </c>
      <c r="V9" s="277">
        <v>263</v>
      </c>
      <c r="W9" s="260">
        <v>223</v>
      </c>
      <c r="X9" s="277">
        <v>303</v>
      </c>
      <c r="Y9" s="260">
        <v>314</v>
      </c>
      <c r="Z9" s="316">
        <v>291</v>
      </c>
      <c r="AA9" s="260">
        <v>256</v>
      </c>
      <c r="AB9" s="316"/>
      <c r="AC9" s="39"/>
      <c r="AD9" s="316"/>
      <c r="AE9" s="325">
        <f t="shared" si="0"/>
        <v>2225.456</v>
      </c>
      <c r="AF9" s="326">
        <f t="shared" si="1"/>
        <v>2712</v>
      </c>
    </row>
    <row r="10" spans="2:32" ht="12.75" customHeight="1">
      <c r="B10" s="227">
        <f t="shared" si="2"/>
        <v>5</v>
      </c>
      <c r="C10" s="252" t="s">
        <v>1</v>
      </c>
      <c r="D10" s="232">
        <v>9045.5</v>
      </c>
      <c r="E10" s="249">
        <v>248</v>
      </c>
      <c r="F10" s="277">
        <v>327</v>
      </c>
      <c r="G10" s="290">
        <v>420</v>
      </c>
      <c r="H10" s="277">
        <v>565</v>
      </c>
      <c r="I10" s="290">
        <v>406</v>
      </c>
      <c r="J10" s="277">
        <v>516</v>
      </c>
      <c r="K10" s="249">
        <v>505</v>
      </c>
      <c r="L10" s="277">
        <v>546</v>
      </c>
      <c r="M10" s="249">
        <v>486</v>
      </c>
      <c r="N10" s="277">
        <v>466</v>
      </c>
      <c r="O10" s="121">
        <v>469</v>
      </c>
      <c r="P10" s="277">
        <f>470+199</f>
        <v>669</v>
      </c>
      <c r="Q10" s="121">
        <v>198</v>
      </c>
      <c r="R10" s="277">
        <v>276</v>
      </c>
      <c r="S10" s="121">
        <v>270</v>
      </c>
      <c r="T10" s="305">
        <v>167</v>
      </c>
      <c r="U10" s="260">
        <v>319</v>
      </c>
      <c r="V10" s="277">
        <f>216+122</f>
        <v>338</v>
      </c>
      <c r="W10" s="260">
        <v>404</v>
      </c>
      <c r="X10" s="277">
        <v>394</v>
      </c>
      <c r="Y10" s="260">
        <v>492</v>
      </c>
      <c r="Z10" s="317">
        <v>535</v>
      </c>
      <c r="AA10" s="260">
        <v>515</v>
      </c>
      <c r="AB10" s="317"/>
      <c r="AC10" s="32"/>
      <c r="AD10" s="317"/>
      <c r="AE10" s="325">
        <f t="shared" si="0"/>
        <v>4732</v>
      </c>
      <c r="AF10" s="326">
        <f t="shared" si="1"/>
        <v>4799</v>
      </c>
    </row>
    <row r="11" spans="2:32" ht="12.75">
      <c r="B11" s="227">
        <f t="shared" si="2"/>
        <v>6</v>
      </c>
      <c r="C11" s="253" t="s">
        <v>54</v>
      </c>
      <c r="D11" s="233">
        <v>7179.6</v>
      </c>
      <c r="E11" s="227">
        <v>73</v>
      </c>
      <c r="F11" s="278">
        <v>152</v>
      </c>
      <c r="G11" s="271">
        <v>136</v>
      </c>
      <c r="H11" s="278">
        <v>276</v>
      </c>
      <c r="I11" s="271">
        <v>133</v>
      </c>
      <c r="J11" s="278">
        <v>256</v>
      </c>
      <c r="K11" s="227">
        <v>207</v>
      </c>
      <c r="L11" s="278">
        <v>268</v>
      </c>
      <c r="M11" s="227">
        <v>195</v>
      </c>
      <c r="N11" s="278">
        <v>201</v>
      </c>
      <c r="O11" s="120">
        <v>220</v>
      </c>
      <c r="P11" s="278">
        <f>251+116</f>
        <v>367</v>
      </c>
      <c r="Q11" s="120">
        <v>83</v>
      </c>
      <c r="R11" s="278">
        <v>195</v>
      </c>
      <c r="S11" s="120">
        <v>141</v>
      </c>
      <c r="T11" s="306">
        <v>205</v>
      </c>
      <c r="U11" s="261">
        <v>196</v>
      </c>
      <c r="V11" s="278">
        <f>127+56</f>
        <v>183</v>
      </c>
      <c r="W11" s="261">
        <v>173</v>
      </c>
      <c r="X11" s="278">
        <v>185</v>
      </c>
      <c r="Y11" s="261">
        <v>186</v>
      </c>
      <c r="Z11" s="318">
        <v>243</v>
      </c>
      <c r="AA11" s="261">
        <v>223</v>
      </c>
      <c r="AB11" s="318"/>
      <c r="AC11" s="41"/>
      <c r="AD11" s="318"/>
      <c r="AE11" s="325">
        <f t="shared" si="0"/>
        <v>1966</v>
      </c>
      <c r="AF11" s="326">
        <f t="shared" si="1"/>
        <v>2531</v>
      </c>
    </row>
    <row r="12" spans="2:32" ht="12.75">
      <c r="B12" s="227">
        <f t="shared" si="2"/>
        <v>7</v>
      </c>
      <c r="C12" s="253" t="s">
        <v>51</v>
      </c>
      <c r="D12" s="229">
        <v>7003.6</v>
      </c>
      <c r="E12" s="227">
        <v>130</v>
      </c>
      <c r="F12" s="278">
        <v>199</v>
      </c>
      <c r="G12" s="271">
        <v>241</v>
      </c>
      <c r="H12" s="278">
        <v>348</v>
      </c>
      <c r="I12" s="271">
        <v>245</v>
      </c>
      <c r="J12" s="278">
        <v>329</v>
      </c>
      <c r="K12" s="227">
        <v>285</v>
      </c>
      <c r="L12" s="278">
        <v>375</v>
      </c>
      <c r="M12" s="227">
        <v>252</v>
      </c>
      <c r="N12" s="278">
        <v>291</v>
      </c>
      <c r="O12" s="120">
        <v>227</v>
      </c>
      <c r="P12" s="278">
        <f>253+94</f>
        <v>347</v>
      </c>
      <c r="Q12" s="120">
        <v>91</v>
      </c>
      <c r="R12" s="278">
        <v>160</v>
      </c>
      <c r="S12" s="120">
        <v>191</v>
      </c>
      <c r="T12" s="306">
        <v>187</v>
      </c>
      <c r="U12" s="261">
        <v>215</v>
      </c>
      <c r="V12" s="278">
        <f>133+84</f>
        <v>217</v>
      </c>
      <c r="W12" s="261">
        <v>270</v>
      </c>
      <c r="X12" s="278">
        <v>283</v>
      </c>
      <c r="Y12" s="261">
        <v>295</v>
      </c>
      <c r="Z12" s="319">
        <v>316</v>
      </c>
      <c r="AA12" s="261">
        <v>296</v>
      </c>
      <c r="AB12" s="319"/>
      <c r="AC12" s="33"/>
      <c r="AD12" s="319"/>
      <c r="AE12" s="325">
        <f t="shared" si="0"/>
        <v>2738</v>
      </c>
      <c r="AF12" s="326">
        <f t="shared" si="1"/>
        <v>3052</v>
      </c>
    </row>
    <row r="13" spans="2:32" ht="12.75" customHeight="1">
      <c r="B13" s="227">
        <f t="shared" si="2"/>
        <v>8</v>
      </c>
      <c r="C13" s="77" t="s">
        <v>0</v>
      </c>
      <c r="D13" s="229">
        <v>6727.7</v>
      </c>
      <c r="E13" s="227">
        <v>414</v>
      </c>
      <c r="F13" s="279">
        <v>376</v>
      </c>
      <c r="G13" s="271">
        <v>675</v>
      </c>
      <c r="H13" s="279">
        <v>681</v>
      </c>
      <c r="I13" s="271">
        <v>627</v>
      </c>
      <c r="J13" s="279">
        <v>623</v>
      </c>
      <c r="K13" s="227">
        <v>691</v>
      </c>
      <c r="L13" s="279">
        <v>649</v>
      </c>
      <c r="M13" s="227">
        <v>476</v>
      </c>
      <c r="N13" s="279">
        <v>569</v>
      </c>
      <c r="O13" s="120">
        <v>473</v>
      </c>
      <c r="P13" s="279">
        <f>528+173</f>
        <v>701</v>
      </c>
      <c r="Q13" s="120">
        <v>450</v>
      </c>
      <c r="R13" s="279">
        <v>146</v>
      </c>
      <c r="S13" s="120">
        <v>456</v>
      </c>
      <c r="T13" s="307">
        <v>398</v>
      </c>
      <c r="U13" s="261">
        <v>465</v>
      </c>
      <c r="V13" s="279">
        <f>314+124</f>
        <v>438</v>
      </c>
      <c r="W13" s="261">
        <v>543</v>
      </c>
      <c r="X13" s="279">
        <v>535</v>
      </c>
      <c r="Y13" s="261">
        <v>585</v>
      </c>
      <c r="Z13" s="319">
        <v>586</v>
      </c>
      <c r="AA13" s="261">
        <v>607</v>
      </c>
      <c r="AB13" s="319"/>
      <c r="AC13" s="33"/>
      <c r="AD13" s="319"/>
      <c r="AE13" s="325">
        <f t="shared" si="0"/>
        <v>6462</v>
      </c>
      <c r="AF13" s="326">
        <f t="shared" si="1"/>
        <v>5702</v>
      </c>
    </row>
    <row r="14" spans="2:32" ht="12.75" customHeight="1" hidden="1">
      <c r="B14" s="227">
        <f t="shared" si="2"/>
        <v>9</v>
      </c>
      <c r="C14" s="77" t="s">
        <v>75</v>
      </c>
      <c r="D14" s="229">
        <v>4726.8</v>
      </c>
      <c r="E14" s="269"/>
      <c r="F14" s="279">
        <v>66</v>
      </c>
      <c r="G14" s="243"/>
      <c r="H14" s="279">
        <v>144</v>
      </c>
      <c r="I14" s="90"/>
      <c r="J14" s="279">
        <v>179</v>
      </c>
      <c r="K14" s="90"/>
      <c r="L14" s="279">
        <v>175</v>
      </c>
      <c r="M14" s="227"/>
      <c r="N14" s="279">
        <v>175</v>
      </c>
      <c r="O14" s="120">
        <v>0</v>
      </c>
      <c r="P14" s="279">
        <f>89+54</f>
        <v>143</v>
      </c>
      <c r="Q14" s="120">
        <v>24</v>
      </c>
      <c r="R14" s="279">
        <v>74</v>
      </c>
      <c r="S14" s="120">
        <v>87</v>
      </c>
      <c r="T14" s="307">
        <v>145</v>
      </c>
      <c r="U14" s="261">
        <v>102</v>
      </c>
      <c r="V14" s="279">
        <v>99</v>
      </c>
      <c r="W14" s="261">
        <v>161</v>
      </c>
      <c r="X14" s="279">
        <v>162</v>
      </c>
      <c r="Y14" s="261">
        <v>116</v>
      </c>
      <c r="Z14" s="319">
        <v>177</v>
      </c>
      <c r="AA14" s="261">
        <v>150</v>
      </c>
      <c r="AB14" s="319"/>
      <c r="AC14" s="33"/>
      <c r="AD14" s="319"/>
      <c r="AE14" s="325">
        <f t="shared" si="0"/>
        <v>640</v>
      </c>
      <c r="AF14" s="326">
        <f t="shared" si="1"/>
        <v>1539</v>
      </c>
    </row>
    <row r="15" spans="2:32" ht="12.75" customHeight="1" hidden="1">
      <c r="B15" s="227">
        <f t="shared" si="2"/>
        <v>10</v>
      </c>
      <c r="C15" s="77" t="s">
        <v>76</v>
      </c>
      <c r="D15" s="229">
        <v>4730.4</v>
      </c>
      <c r="E15" s="269"/>
      <c r="F15" s="279">
        <v>212</v>
      </c>
      <c r="G15" s="243"/>
      <c r="H15" s="279">
        <v>401</v>
      </c>
      <c r="I15" s="90"/>
      <c r="J15" s="279">
        <v>479</v>
      </c>
      <c r="K15" s="90"/>
      <c r="L15" s="279">
        <v>397</v>
      </c>
      <c r="M15" s="227"/>
      <c r="N15" s="279">
        <v>346</v>
      </c>
      <c r="O15" s="120">
        <v>0</v>
      </c>
      <c r="P15" s="279">
        <f>213+94</f>
        <v>307</v>
      </c>
      <c r="Q15" s="120">
        <v>14</v>
      </c>
      <c r="R15" s="279">
        <v>174</v>
      </c>
      <c r="S15" s="120">
        <v>101</v>
      </c>
      <c r="T15" s="307">
        <v>273</v>
      </c>
      <c r="U15" s="261">
        <v>216</v>
      </c>
      <c r="V15" s="279">
        <v>325</v>
      </c>
      <c r="W15" s="261">
        <v>222</v>
      </c>
      <c r="X15" s="279">
        <v>377</v>
      </c>
      <c r="Y15" s="261">
        <v>311</v>
      </c>
      <c r="Z15" s="319">
        <v>406</v>
      </c>
      <c r="AA15" s="261">
        <v>331</v>
      </c>
      <c r="AB15" s="319"/>
      <c r="AC15" s="33"/>
      <c r="AD15" s="319"/>
      <c r="AE15" s="325">
        <f t="shared" si="0"/>
        <v>1195</v>
      </c>
      <c r="AF15" s="326">
        <f t="shared" si="1"/>
        <v>3697</v>
      </c>
    </row>
    <row r="16" spans="2:32" ht="12.75" customHeight="1" hidden="1">
      <c r="B16" s="227">
        <f t="shared" si="2"/>
        <v>11</v>
      </c>
      <c r="C16" s="77" t="s">
        <v>77</v>
      </c>
      <c r="D16" s="229">
        <v>4727.7</v>
      </c>
      <c r="E16" s="269"/>
      <c r="F16" s="279">
        <v>222</v>
      </c>
      <c r="G16" s="243"/>
      <c r="H16" s="279">
        <v>404</v>
      </c>
      <c r="I16" s="90"/>
      <c r="J16" s="279">
        <v>437</v>
      </c>
      <c r="K16" s="90"/>
      <c r="L16" s="279">
        <v>378</v>
      </c>
      <c r="M16" s="227"/>
      <c r="N16" s="279">
        <v>140</v>
      </c>
      <c r="O16" s="120">
        <v>0</v>
      </c>
      <c r="P16" s="279">
        <f>89+42</f>
        <v>131</v>
      </c>
      <c r="Q16" s="120">
        <v>10</v>
      </c>
      <c r="R16" s="279">
        <v>61</v>
      </c>
      <c r="S16" s="120">
        <v>84</v>
      </c>
      <c r="T16" s="307">
        <v>120</v>
      </c>
      <c r="U16" s="261">
        <v>232</v>
      </c>
      <c r="V16" s="279">
        <v>178</v>
      </c>
      <c r="W16" s="261">
        <v>238</v>
      </c>
      <c r="X16" s="279">
        <v>184</v>
      </c>
      <c r="Y16" s="261">
        <v>285</v>
      </c>
      <c r="Z16" s="319">
        <v>194</v>
      </c>
      <c r="AA16" s="261">
        <v>291</v>
      </c>
      <c r="AB16" s="319"/>
      <c r="AC16" s="33"/>
      <c r="AD16" s="319"/>
      <c r="AE16" s="325">
        <f t="shared" si="0"/>
        <v>1140</v>
      </c>
      <c r="AF16" s="326">
        <f t="shared" si="1"/>
        <v>2449</v>
      </c>
    </row>
    <row r="17" spans="2:32" ht="12.75" customHeight="1">
      <c r="B17" s="227">
        <f t="shared" si="2"/>
        <v>12</v>
      </c>
      <c r="C17" s="77" t="s">
        <v>72</v>
      </c>
      <c r="D17" s="229">
        <v>10656</v>
      </c>
      <c r="E17" s="227"/>
      <c r="F17" s="279">
        <v>611</v>
      </c>
      <c r="G17" s="271">
        <v>592.57</v>
      </c>
      <c r="H17" s="279">
        <v>1226</v>
      </c>
      <c r="I17" s="271">
        <v>1033.72</v>
      </c>
      <c r="J17" s="279">
        <v>845</v>
      </c>
      <c r="K17" s="227">
        <v>1036</v>
      </c>
      <c r="L17" s="279">
        <v>920</v>
      </c>
      <c r="M17" s="227">
        <v>977</v>
      </c>
      <c r="N17" s="279">
        <v>752</v>
      </c>
      <c r="O17" s="120">
        <v>1094</v>
      </c>
      <c r="P17" s="279">
        <f>617+280</f>
        <v>897</v>
      </c>
      <c r="Q17" s="120">
        <v>612</v>
      </c>
      <c r="R17" s="279">
        <v>461</v>
      </c>
      <c r="S17" s="120">
        <v>644</v>
      </c>
      <c r="T17" s="307">
        <v>619</v>
      </c>
      <c r="U17" s="261">
        <v>816</v>
      </c>
      <c r="V17" s="279">
        <v>405</v>
      </c>
      <c r="W17" s="261">
        <v>1230</v>
      </c>
      <c r="X17" s="279">
        <v>788</v>
      </c>
      <c r="Y17" s="261">
        <v>727</v>
      </c>
      <c r="Z17" s="319">
        <v>827</v>
      </c>
      <c r="AA17" s="261">
        <v>958</v>
      </c>
      <c r="AB17" s="319"/>
      <c r="AC17" s="33"/>
      <c r="AD17" s="319"/>
      <c r="AE17" s="325">
        <f t="shared" si="0"/>
        <v>9720.29</v>
      </c>
      <c r="AF17" s="326">
        <f t="shared" si="1"/>
        <v>8351</v>
      </c>
    </row>
    <row r="18" spans="2:32" s="13" customFormat="1" ht="12.75">
      <c r="B18" s="227">
        <f t="shared" si="2"/>
        <v>13</v>
      </c>
      <c r="C18" s="77" t="s">
        <v>59</v>
      </c>
      <c r="D18" s="229">
        <v>3545.7</v>
      </c>
      <c r="E18" s="271">
        <v>135.95</v>
      </c>
      <c r="F18" s="280">
        <v>229</v>
      </c>
      <c r="G18" s="271">
        <v>122.12</v>
      </c>
      <c r="H18" s="280">
        <v>379</v>
      </c>
      <c r="I18" s="271">
        <v>210.4</v>
      </c>
      <c r="J18" s="280">
        <v>338</v>
      </c>
      <c r="K18" s="227">
        <v>279</v>
      </c>
      <c r="L18" s="280">
        <v>366</v>
      </c>
      <c r="M18" s="227">
        <v>322</v>
      </c>
      <c r="N18" s="280">
        <v>295</v>
      </c>
      <c r="O18" s="120">
        <v>309</v>
      </c>
      <c r="P18" s="280">
        <f>236+105</f>
        <v>341</v>
      </c>
      <c r="Q18" s="120">
        <v>197</v>
      </c>
      <c r="R18" s="280">
        <v>193</v>
      </c>
      <c r="S18" s="120">
        <v>207</v>
      </c>
      <c r="T18" s="308">
        <v>263</v>
      </c>
      <c r="U18" s="261">
        <v>250</v>
      </c>
      <c r="V18" s="280">
        <v>291</v>
      </c>
      <c r="W18" s="261">
        <v>299</v>
      </c>
      <c r="X18" s="280">
        <v>283</v>
      </c>
      <c r="Y18" s="261">
        <v>368</v>
      </c>
      <c r="Z18" s="319">
        <v>305</v>
      </c>
      <c r="AA18" s="261">
        <v>376</v>
      </c>
      <c r="AB18" s="319"/>
      <c r="AC18" s="33"/>
      <c r="AD18" s="319"/>
      <c r="AE18" s="325">
        <f t="shared" si="0"/>
        <v>3075.4700000000003</v>
      </c>
      <c r="AF18" s="326">
        <f t="shared" si="1"/>
        <v>3283</v>
      </c>
    </row>
    <row r="19" spans="2:32" s="13" customFormat="1" ht="12.75">
      <c r="B19" s="227">
        <f t="shared" si="2"/>
        <v>14</v>
      </c>
      <c r="C19" s="77" t="s">
        <v>60</v>
      </c>
      <c r="D19" s="229">
        <v>3547.1</v>
      </c>
      <c r="E19" s="271">
        <v>143.98</v>
      </c>
      <c r="F19" s="280">
        <v>120</v>
      </c>
      <c r="G19" s="271">
        <v>167.106</v>
      </c>
      <c r="H19" s="280">
        <v>299</v>
      </c>
      <c r="I19" s="271">
        <v>187.43</v>
      </c>
      <c r="J19" s="280">
        <v>281</v>
      </c>
      <c r="K19" s="227">
        <v>241</v>
      </c>
      <c r="L19" s="280">
        <v>273</v>
      </c>
      <c r="M19" s="227">
        <v>229</v>
      </c>
      <c r="N19" s="280">
        <v>251</v>
      </c>
      <c r="O19" s="120">
        <v>215</v>
      </c>
      <c r="P19" s="280">
        <f>229+94</f>
        <v>323</v>
      </c>
      <c r="Q19" s="120">
        <v>138</v>
      </c>
      <c r="R19" s="280">
        <v>174</v>
      </c>
      <c r="S19" s="120">
        <v>160</v>
      </c>
      <c r="T19" s="308">
        <v>241</v>
      </c>
      <c r="U19" s="261">
        <v>207</v>
      </c>
      <c r="V19" s="280">
        <v>254</v>
      </c>
      <c r="W19" s="261">
        <v>273</v>
      </c>
      <c r="X19" s="280">
        <v>272</v>
      </c>
      <c r="Y19" s="261">
        <v>289</v>
      </c>
      <c r="Z19" s="319">
        <v>303</v>
      </c>
      <c r="AA19" s="261">
        <v>276</v>
      </c>
      <c r="AB19" s="319"/>
      <c r="AC19" s="33"/>
      <c r="AD19" s="319"/>
      <c r="AE19" s="325">
        <f t="shared" si="0"/>
        <v>2526.516</v>
      </c>
      <c r="AF19" s="326">
        <f t="shared" si="1"/>
        <v>2791</v>
      </c>
    </row>
    <row r="20" spans="2:32" s="13" customFormat="1" ht="12.75">
      <c r="B20" s="227">
        <f t="shared" si="2"/>
        <v>15</v>
      </c>
      <c r="C20" s="77" t="s">
        <v>64</v>
      </c>
      <c r="D20" s="229">
        <v>3524.6</v>
      </c>
      <c r="E20" s="269"/>
      <c r="F20" s="279">
        <v>178</v>
      </c>
      <c r="G20" s="271">
        <v>185.76</v>
      </c>
      <c r="H20" s="279">
        <v>294</v>
      </c>
      <c r="I20" s="271">
        <v>206.02</v>
      </c>
      <c r="J20" s="279">
        <v>271</v>
      </c>
      <c r="K20" s="227">
        <v>271</v>
      </c>
      <c r="L20" s="279">
        <v>335</v>
      </c>
      <c r="M20" s="227">
        <v>184</v>
      </c>
      <c r="N20" s="279">
        <v>280</v>
      </c>
      <c r="O20" s="120">
        <v>168</v>
      </c>
      <c r="P20" s="279">
        <f>172+89</f>
        <v>261</v>
      </c>
      <c r="Q20" s="120">
        <v>109</v>
      </c>
      <c r="R20" s="279">
        <v>168</v>
      </c>
      <c r="S20" s="120">
        <v>169</v>
      </c>
      <c r="T20" s="307">
        <v>226</v>
      </c>
      <c r="U20" s="261">
        <v>229</v>
      </c>
      <c r="V20" s="279">
        <v>242</v>
      </c>
      <c r="W20" s="261">
        <v>265</v>
      </c>
      <c r="X20" s="279">
        <v>249</v>
      </c>
      <c r="Y20" s="261">
        <v>268</v>
      </c>
      <c r="Z20" s="319">
        <v>275</v>
      </c>
      <c r="AA20" s="261">
        <v>299</v>
      </c>
      <c r="AB20" s="319"/>
      <c r="AC20" s="33"/>
      <c r="AD20" s="319"/>
      <c r="AE20" s="325">
        <f t="shared" si="0"/>
        <v>2353.7799999999997</v>
      </c>
      <c r="AF20" s="326">
        <f t="shared" si="1"/>
        <v>2779</v>
      </c>
    </row>
    <row r="21" spans="2:32" s="13" customFormat="1" ht="12.75">
      <c r="B21" s="227">
        <f t="shared" si="2"/>
        <v>16</v>
      </c>
      <c r="C21" s="26" t="s">
        <v>74</v>
      </c>
      <c r="D21" s="234">
        <v>16614.4</v>
      </c>
      <c r="E21" s="241"/>
      <c r="F21" s="279">
        <v>644</v>
      </c>
      <c r="G21" s="243"/>
      <c r="H21" s="279">
        <v>1075</v>
      </c>
      <c r="I21" s="90"/>
      <c r="J21" s="279">
        <v>896</v>
      </c>
      <c r="K21" s="227"/>
      <c r="L21" s="279">
        <v>1060</v>
      </c>
      <c r="M21" s="227">
        <v>21</v>
      </c>
      <c r="N21" s="279">
        <v>783</v>
      </c>
      <c r="O21" s="120">
        <v>34</v>
      </c>
      <c r="P21" s="279">
        <f>681+292</f>
        <v>973</v>
      </c>
      <c r="Q21" s="120">
        <v>82</v>
      </c>
      <c r="R21" s="279">
        <v>503</v>
      </c>
      <c r="S21" s="120">
        <v>143</v>
      </c>
      <c r="T21" s="307">
        <v>613</v>
      </c>
      <c r="U21" s="261">
        <v>311</v>
      </c>
      <c r="V21" s="279">
        <v>693</v>
      </c>
      <c r="W21" s="261">
        <v>677</v>
      </c>
      <c r="X21" s="279">
        <v>787</v>
      </c>
      <c r="Y21" s="261">
        <v>863</v>
      </c>
      <c r="Z21" s="317">
        <v>894</v>
      </c>
      <c r="AA21" s="261">
        <v>931</v>
      </c>
      <c r="AB21" s="316"/>
      <c r="AC21" s="39"/>
      <c r="AD21" s="316"/>
      <c r="AE21" s="325">
        <f t="shared" si="0"/>
        <v>3062</v>
      </c>
      <c r="AF21" s="326">
        <f t="shared" si="1"/>
        <v>8921</v>
      </c>
    </row>
    <row r="22" spans="2:32" s="13" customFormat="1" ht="12.75">
      <c r="B22" s="227">
        <f t="shared" si="2"/>
        <v>17</v>
      </c>
      <c r="C22" s="77" t="s">
        <v>65</v>
      </c>
      <c r="D22" s="229">
        <v>14948.6</v>
      </c>
      <c r="E22" s="271">
        <v>525.15</v>
      </c>
      <c r="F22" s="279">
        <v>730</v>
      </c>
      <c r="G22" s="271">
        <v>642.28</v>
      </c>
      <c r="H22" s="279">
        <v>1229</v>
      </c>
      <c r="I22" s="271">
        <v>873.07</v>
      </c>
      <c r="J22" s="279">
        <v>1117</v>
      </c>
      <c r="K22" s="227">
        <v>1003</v>
      </c>
      <c r="L22" s="279">
        <v>1223</v>
      </c>
      <c r="M22" s="227">
        <v>912</v>
      </c>
      <c r="N22" s="279">
        <v>916</v>
      </c>
      <c r="O22" s="120">
        <v>913</v>
      </c>
      <c r="P22" s="279">
        <f>804+333</f>
        <v>1137</v>
      </c>
      <c r="Q22" s="120">
        <v>581</v>
      </c>
      <c r="R22" s="279">
        <v>603</v>
      </c>
      <c r="S22" s="120">
        <v>616</v>
      </c>
      <c r="T22" s="307">
        <v>777</v>
      </c>
      <c r="U22" s="261">
        <v>742</v>
      </c>
      <c r="V22" s="279">
        <v>919</v>
      </c>
      <c r="W22" s="261">
        <v>1102</v>
      </c>
      <c r="X22" s="279">
        <v>1039</v>
      </c>
      <c r="Y22" s="261">
        <v>1199</v>
      </c>
      <c r="Z22" s="319">
        <v>1199</v>
      </c>
      <c r="AA22" s="261">
        <v>1174</v>
      </c>
      <c r="AB22" s="319"/>
      <c r="AC22" s="33"/>
      <c r="AD22" s="319"/>
      <c r="AE22" s="325">
        <f t="shared" si="0"/>
        <v>10282.5</v>
      </c>
      <c r="AF22" s="326">
        <f t="shared" si="1"/>
        <v>10889</v>
      </c>
    </row>
    <row r="23" spans="2:32" s="13" customFormat="1" ht="12.75" hidden="1">
      <c r="B23" s="227">
        <f t="shared" si="2"/>
        <v>18</v>
      </c>
      <c r="C23" s="254" t="s">
        <v>88</v>
      </c>
      <c r="D23" s="229">
        <v>8832.7</v>
      </c>
      <c r="E23" s="241"/>
      <c r="F23" s="280"/>
      <c r="G23" s="241"/>
      <c r="H23" s="292"/>
      <c r="I23" s="90"/>
      <c r="J23" s="279"/>
      <c r="K23" s="227"/>
      <c r="L23" s="279">
        <v>15</v>
      </c>
      <c r="M23" s="90"/>
      <c r="N23" s="279">
        <v>27</v>
      </c>
      <c r="O23" s="90"/>
      <c r="P23" s="279">
        <f>101+65</f>
        <v>166</v>
      </c>
      <c r="Q23" s="90"/>
      <c r="R23" s="279">
        <v>109</v>
      </c>
      <c r="S23" s="90"/>
      <c r="T23" s="307">
        <v>163</v>
      </c>
      <c r="U23" s="261"/>
      <c r="V23" s="279">
        <v>432</v>
      </c>
      <c r="W23" s="89"/>
      <c r="X23" s="279">
        <v>638</v>
      </c>
      <c r="Y23" s="89"/>
      <c r="Z23" s="319">
        <v>727</v>
      </c>
      <c r="AA23" s="33"/>
      <c r="AB23" s="319"/>
      <c r="AC23" s="33"/>
      <c r="AD23" s="319"/>
      <c r="AE23" s="325">
        <f t="shared" si="0"/>
        <v>0</v>
      </c>
      <c r="AF23" s="326">
        <f t="shared" si="1"/>
        <v>2277</v>
      </c>
    </row>
    <row r="24" spans="2:32" s="13" customFormat="1" ht="12.75">
      <c r="B24" s="227">
        <f t="shared" si="2"/>
        <v>19</v>
      </c>
      <c r="C24" s="77" t="s">
        <v>57</v>
      </c>
      <c r="D24" s="229">
        <v>19523.1</v>
      </c>
      <c r="E24" s="271">
        <v>756.63</v>
      </c>
      <c r="F24" s="280">
        <v>949</v>
      </c>
      <c r="G24" s="271">
        <v>906.348</v>
      </c>
      <c r="H24" s="280">
        <v>1617</v>
      </c>
      <c r="I24" s="271">
        <v>1145.75</v>
      </c>
      <c r="J24" s="280">
        <v>1504</v>
      </c>
      <c r="K24" s="227">
        <f>1257</f>
        <v>1257</v>
      </c>
      <c r="L24" s="280">
        <v>1540</v>
      </c>
      <c r="M24" s="227">
        <v>1191</v>
      </c>
      <c r="N24" s="280">
        <v>1240</v>
      </c>
      <c r="O24" s="120">
        <v>1153</v>
      </c>
      <c r="P24" s="280">
        <f>978+418</f>
        <v>1396</v>
      </c>
      <c r="Q24" s="120">
        <v>734</v>
      </c>
      <c r="R24" s="280">
        <v>734</v>
      </c>
      <c r="S24" s="120">
        <v>742</v>
      </c>
      <c r="T24" s="308">
        <v>804</v>
      </c>
      <c r="U24" s="261">
        <v>964</v>
      </c>
      <c r="V24" s="280">
        <v>1135</v>
      </c>
      <c r="W24" s="261">
        <v>1283</v>
      </c>
      <c r="X24" s="280">
        <v>1344</v>
      </c>
      <c r="Y24" s="261">
        <v>1515</v>
      </c>
      <c r="Z24" s="319">
        <v>1523</v>
      </c>
      <c r="AA24" s="261">
        <v>1491</v>
      </c>
      <c r="AB24" s="319"/>
      <c r="AC24" s="33"/>
      <c r="AD24" s="319"/>
      <c r="AE24" s="325">
        <f t="shared" si="0"/>
        <v>13138.728</v>
      </c>
      <c r="AF24" s="326">
        <f t="shared" si="1"/>
        <v>13786</v>
      </c>
    </row>
    <row r="25" spans="2:32" ht="12.75" customHeight="1">
      <c r="B25" s="227">
        <f t="shared" si="2"/>
        <v>20</v>
      </c>
      <c r="C25" s="255" t="s">
        <v>63</v>
      </c>
      <c r="D25" s="230">
        <v>18481.1</v>
      </c>
      <c r="E25" s="271">
        <v>839.91</v>
      </c>
      <c r="F25" s="279">
        <v>666</v>
      </c>
      <c r="G25" s="271">
        <v>953.61</v>
      </c>
      <c r="H25" s="279">
        <v>1343</v>
      </c>
      <c r="I25" s="271">
        <v>1171.41</v>
      </c>
      <c r="J25" s="279">
        <v>1206</v>
      </c>
      <c r="K25" s="227">
        <v>1149</v>
      </c>
      <c r="L25" s="279">
        <v>1335</v>
      </c>
      <c r="M25" s="227">
        <v>1109</v>
      </c>
      <c r="N25" s="279">
        <v>1094</v>
      </c>
      <c r="O25" s="120">
        <v>1126</v>
      </c>
      <c r="P25" s="279">
        <f>836+348</f>
        <v>1184</v>
      </c>
      <c r="Q25" s="120">
        <v>1096</v>
      </c>
      <c r="R25" s="279">
        <v>615</v>
      </c>
      <c r="S25" s="120">
        <v>844</v>
      </c>
      <c r="T25" s="307">
        <v>846</v>
      </c>
      <c r="U25" s="261">
        <v>789</v>
      </c>
      <c r="V25" s="279">
        <v>1027</v>
      </c>
      <c r="W25" s="261">
        <v>921</v>
      </c>
      <c r="X25" s="279">
        <v>1044</v>
      </c>
      <c r="Y25" s="261">
        <v>885</v>
      </c>
      <c r="Z25" s="319">
        <v>1267</v>
      </c>
      <c r="AA25" s="261">
        <v>1086</v>
      </c>
      <c r="AB25" s="319"/>
      <c r="AC25" s="33"/>
      <c r="AD25" s="319"/>
      <c r="AE25" s="325">
        <f t="shared" si="0"/>
        <v>11969.93</v>
      </c>
      <c r="AF25" s="326">
        <f t="shared" si="1"/>
        <v>11627</v>
      </c>
    </row>
    <row r="26" spans="2:32" s="13" customFormat="1" ht="12.75">
      <c r="B26" s="227">
        <f t="shared" si="2"/>
        <v>21</v>
      </c>
      <c r="C26" s="77" t="s">
        <v>55</v>
      </c>
      <c r="D26" s="229">
        <v>18464.4</v>
      </c>
      <c r="E26" s="271">
        <v>795.22</v>
      </c>
      <c r="F26" s="279">
        <v>951</v>
      </c>
      <c r="G26" s="271">
        <v>923.242</v>
      </c>
      <c r="H26" s="279">
        <v>1566</v>
      </c>
      <c r="I26" s="271">
        <v>1203.36</v>
      </c>
      <c r="J26" s="279">
        <v>1398</v>
      </c>
      <c r="K26" s="227">
        <v>1367</v>
      </c>
      <c r="L26" s="279">
        <v>1505</v>
      </c>
      <c r="M26" s="227">
        <v>1214</v>
      </c>
      <c r="N26" s="279">
        <v>1167</v>
      </c>
      <c r="O26" s="120">
        <v>1138</v>
      </c>
      <c r="P26" s="279">
        <f>1067+437</f>
        <v>1504</v>
      </c>
      <c r="Q26" s="120">
        <v>761</v>
      </c>
      <c r="R26" s="279">
        <v>816</v>
      </c>
      <c r="S26" s="120">
        <v>724</v>
      </c>
      <c r="T26" s="307">
        <v>1071</v>
      </c>
      <c r="U26" s="261">
        <v>972</v>
      </c>
      <c r="V26" s="279">
        <v>1246</v>
      </c>
      <c r="W26" s="261">
        <v>1213</v>
      </c>
      <c r="X26" s="279">
        <v>1378</v>
      </c>
      <c r="Y26" s="261">
        <v>1464</v>
      </c>
      <c r="Z26" s="319">
        <v>1399</v>
      </c>
      <c r="AA26" s="261">
        <v>1480</v>
      </c>
      <c r="AB26" s="319"/>
      <c r="AC26" s="33"/>
      <c r="AD26" s="319"/>
      <c r="AE26" s="325">
        <f t="shared" si="0"/>
        <v>13254.822</v>
      </c>
      <c r="AF26" s="326">
        <f t="shared" si="1"/>
        <v>14001</v>
      </c>
    </row>
    <row r="27" spans="2:32" ht="12.75" customHeight="1">
      <c r="B27" s="227">
        <f t="shared" si="2"/>
        <v>22</v>
      </c>
      <c r="C27" s="77" t="s">
        <v>52</v>
      </c>
      <c r="D27" s="229">
        <v>30266.3</v>
      </c>
      <c r="E27" s="271">
        <v>1372.05</v>
      </c>
      <c r="F27" s="280">
        <v>1201</v>
      </c>
      <c r="G27" s="271">
        <v>1628.024</v>
      </c>
      <c r="H27" s="279">
        <v>2391</v>
      </c>
      <c r="I27" s="271">
        <v>2060.68</v>
      </c>
      <c r="J27" s="280">
        <v>2033</v>
      </c>
      <c r="K27" s="227">
        <v>2185</v>
      </c>
      <c r="L27" s="280">
        <v>2188</v>
      </c>
      <c r="M27" s="227">
        <v>2034</v>
      </c>
      <c r="N27" s="280">
        <v>1792</v>
      </c>
      <c r="O27" s="120">
        <v>2010</v>
      </c>
      <c r="P27" s="280">
        <f>1561+574</f>
        <v>2135</v>
      </c>
      <c r="Q27" s="120">
        <v>1431</v>
      </c>
      <c r="R27" s="280">
        <v>1044</v>
      </c>
      <c r="S27" s="120">
        <v>1356</v>
      </c>
      <c r="T27" s="308">
        <v>1422</v>
      </c>
      <c r="U27" s="261">
        <v>1465</v>
      </c>
      <c r="V27" s="280">
        <v>1642</v>
      </c>
      <c r="W27" s="261">
        <v>1842</v>
      </c>
      <c r="X27" s="280">
        <v>1728</v>
      </c>
      <c r="Y27" s="261">
        <v>2087</v>
      </c>
      <c r="Z27" s="319">
        <v>2109</v>
      </c>
      <c r="AA27" s="261">
        <v>2142</v>
      </c>
      <c r="AB27" s="319"/>
      <c r="AC27" s="33"/>
      <c r="AD27" s="319"/>
      <c r="AE27" s="325">
        <f t="shared" si="0"/>
        <v>21612.754</v>
      </c>
      <c r="AF27" s="326">
        <f t="shared" si="1"/>
        <v>19685</v>
      </c>
    </row>
    <row r="28" spans="2:32" s="13" customFormat="1" ht="12.75">
      <c r="B28" s="227">
        <f t="shared" si="2"/>
        <v>23</v>
      </c>
      <c r="C28" s="253" t="s">
        <v>58</v>
      </c>
      <c r="D28" s="229">
        <v>24146</v>
      </c>
      <c r="E28" s="271">
        <v>961.9</v>
      </c>
      <c r="F28" s="279">
        <v>690</v>
      </c>
      <c r="G28" s="271">
        <v>1114.9</v>
      </c>
      <c r="H28" s="279">
        <v>1813</v>
      </c>
      <c r="I28" s="271">
        <v>1420.08</v>
      </c>
      <c r="J28" s="279">
        <v>1731</v>
      </c>
      <c r="K28" s="227">
        <v>1587</v>
      </c>
      <c r="L28" s="279">
        <v>1817</v>
      </c>
      <c r="M28" s="227">
        <v>1432</v>
      </c>
      <c r="N28" s="279">
        <v>1407</v>
      </c>
      <c r="O28" s="120">
        <v>1333</v>
      </c>
      <c r="P28" s="279">
        <f>1116+517</f>
        <v>1633</v>
      </c>
      <c r="Q28" s="120">
        <v>871</v>
      </c>
      <c r="R28" s="279">
        <v>880</v>
      </c>
      <c r="S28" s="120">
        <v>872</v>
      </c>
      <c r="T28" s="307">
        <v>1246</v>
      </c>
      <c r="U28" s="261">
        <v>1022</v>
      </c>
      <c r="V28" s="279">
        <v>1392</v>
      </c>
      <c r="W28" s="261">
        <v>1529</v>
      </c>
      <c r="X28" s="279">
        <v>1599</v>
      </c>
      <c r="Y28" s="261">
        <v>1584</v>
      </c>
      <c r="Z28" s="316">
        <v>1569</v>
      </c>
      <c r="AA28" s="261">
        <v>1663</v>
      </c>
      <c r="AB28" s="316"/>
      <c r="AC28" s="39"/>
      <c r="AD28" s="316"/>
      <c r="AE28" s="325">
        <f t="shared" si="0"/>
        <v>15389.880000000001</v>
      </c>
      <c r="AF28" s="326">
        <f t="shared" si="1"/>
        <v>15777</v>
      </c>
    </row>
    <row r="29" spans="2:32" ht="12.75" customHeight="1">
      <c r="B29" s="227">
        <f t="shared" si="2"/>
        <v>24</v>
      </c>
      <c r="C29" s="77" t="s">
        <v>61</v>
      </c>
      <c r="D29" s="229">
        <v>20258.6</v>
      </c>
      <c r="E29" s="271">
        <f>457+615</f>
        <v>1072</v>
      </c>
      <c r="F29" s="279">
        <f>482+533</f>
        <v>1015</v>
      </c>
      <c r="G29" s="271">
        <f>740+1008</f>
        <v>1748</v>
      </c>
      <c r="H29" s="279">
        <f>803+914</f>
        <v>1717</v>
      </c>
      <c r="I29" s="271">
        <f>651+929</f>
        <v>1580</v>
      </c>
      <c r="J29" s="279">
        <f>718+858</f>
        <v>1576</v>
      </c>
      <c r="K29" s="227">
        <f>759+1047</f>
        <v>1806</v>
      </c>
      <c r="L29" s="279">
        <f>798+932</f>
        <v>1730</v>
      </c>
      <c r="M29" s="227">
        <v>1598</v>
      </c>
      <c r="N29" s="279">
        <f>533+721</f>
        <v>1254</v>
      </c>
      <c r="O29" s="120">
        <v>1507</v>
      </c>
      <c r="P29" s="279">
        <f>622+516+193+274</f>
        <v>1605</v>
      </c>
      <c r="Q29" s="120">
        <f>411+548</f>
        <v>959</v>
      </c>
      <c r="R29" s="279">
        <f>310+472</f>
        <v>782</v>
      </c>
      <c r="S29" s="120">
        <v>1000</v>
      </c>
      <c r="T29" s="307">
        <v>1019</v>
      </c>
      <c r="U29" s="261">
        <f>496+659</f>
        <v>1155</v>
      </c>
      <c r="V29" s="279">
        <f>281+404+196+252</f>
        <v>1133</v>
      </c>
      <c r="W29" s="261">
        <v>1436</v>
      </c>
      <c r="X29" s="279">
        <f>597+745</f>
        <v>1342</v>
      </c>
      <c r="Y29" s="261">
        <v>1674</v>
      </c>
      <c r="Z29" s="319">
        <v>1520</v>
      </c>
      <c r="AA29" s="261">
        <v>1696</v>
      </c>
      <c r="AB29" s="319"/>
      <c r="AC29" s="33"/>
      <c r="AD29" s="319"/>
      <c r="AE29" s="325">
        <f t="shared" si="0"/>
        <v>17231</v>
      </c>
      <c r="AF29" s="326">
        <f t="shared" si="1"/>
        <v>14693</v>
      </c>
    </row>
    <row r="30" spans="2:32" ht="12.75" customHeight="1">
      <c r="B30" s="227">
        <f t="shared" si="2"/>
        <v>25</v>
      </c>
      <c r="C30" s="77" t="s">
        <v>53</v>
      </c>
      <c r="D30" s="229">
        <v>6735.1</v>
      </c>
      <c r="E30" s="271">
        <v>358</v>
      </c>
      <c r="F30" s="279">
        <v>347</v>
      </c>
      <c r="G30" s="271">
        <v>572</v>
      </c>
      <c r="H30" s="279">
        <v>604</v>
      </c>
      <c r="I30" s="271">
        <v>543</v>
      </c>
      <c r="J30" s="279">
        <v>545</v>
      </c>
      <c r="K30" s="227">
        <v>635</v>
      </c>
      <c r="L30" s="279">
        <v>590</v>
      </c>
      <c r="M30" s="227">
        <v>550</v>
      </c>
      <c r="N30" s="279">
        <v>405</v>
      </c>
      <c r="O30" s="120">
        <v>433</v>
      </c>
      <c r="P30" s="279">
        <f>383+157</f>
        <v>540</v>
      </c>
      <c r="Q30" s="120">
        <v>252</v>
      </c>
      <c r="R30" s="279">
        <v>254</v>
      </c>
      <c r="S30" s="120">
        <v>280</v>
      </c>
      <c r="T30" s="307">
        <v>320</v>
      </c>
      <c r="U30" s="261">
        <v>333</v>
      </c>
      <c r="V30" s="279">
        <f>241+144</f>
        <v>385</v>
      </c>
      <c r="W30" s="261">
        <v>458</v>
      </c>
      <c r="X30" s="279">
        <v>446</v>
      </c>
      <c r="Y30" s="261">
        <v>508</v>
      </c>
      <c r="Z30" s="319">
        <v>450</v>
      </c>
      <c r="AA30" s="261">
        <v>533</v>
      </c>
      <c r="AB30" s="319"/>
      <c r="AC30" s="33"/>
      <c r="AD30" s="319"/>
      <c r="AE30" s="325">
        <f t="shared" si="0"/>
        <v>5455</v>
      </c>
      <c r="AF30" s="326">
        <f t="shared" si="1"/>
        <v>4886</v>
      </c>
    </row>
    <row r="31" spans="2:32" ht="12.75" customHeight="1">
      <c r="B31" s="227">
        <f t="shared" si="2"/>
        <v>26</v>
      </c>
      <c r="C31" s="77" t="s">
        <v>42</v>
      </c>
      <c r="D31" s="229">
        <v>13989.3</v>
      </c>
      <c r="E31" s="271">
        <f>528+457</f>
        <v>985</v>
      </c>
      <c r="F31" s="279">
        <f>495+400</f>
        <v>895</v>
      </c>
      <c r="G31" s="271">
        <f>886+740</f>
        <v>1626</v>
      </c>
      <c r="H31" s="279">
        <f>867+685</f>
        <v>1552</v>
      </c>
      <c r="I31" s="271">
        <f>808+668</f>
        <v>1476</v>
      </c>
      <c r="J31" s="279">
        <f>783+620</f>
        <v>1403</v>
      </c>
      <c r="K31" s="227">
        <f>910+762</f>
        <v>1672</v>
      </c>
      <c r="L31" s="279">
        <f>859+695</f>
        <v>1554</v>
      </c>
      <c r="M31" s="227">
        <v>1407</v>
      </c>
      <c r="N31" s="279">
        <f>554+568</f>
        <v>1122</v>
      </c>
      <c r="O31" s="120">
        <v>1256</v>
      </c>
      <c r="P31" s="279">
        <f>518+534+209+207</f>
        <v>1468</v>
      </c>
      <c r="Q31" s="120">
        <f>337+436</f>
        <v>773</v>
      </c>
      <c r="R31" s="279">
        <f>374+312</f>
        <v>686</v>
      </c>
      <c r="S31" s="120">
        <v>861</v>
      </c>
      <c r="T31" s="307">
        <f>479+399</f>
        <v>878</v>
      </c>
      <c r="U31" s="261">
        <f>456+520</f>
        <v>976</v>
      </c>
      <c r="V31" s="279">
        <f>311+310+203+183</f>
        <v>1007</v>
      </c>
      <c r="W31" s="261">
        <f>783+667</f>
        <v>1450</v>
      </c>
      <c r="X31" s="279">
        <f>625+576</f>
        <v>1201</v>
      </c>
      <c r="Y31" s="261">
        <f>850+721</f>
        <v>1571</v>
      </c>
      <c r="Z31" s="319">
        <v>1462</v>
      </c>
      <c r="AA31" s="261">
        <v>1511</v>
      </c>
      <c r="AB31" s="319"/>
      <c r="AC31" s="33"/>
      <c r="AD31" s="319"/>
      <c r="AE31" s="325">
        <f t="shared" si="0"/>
        <v>15564</v>
      </c>
      <c r="AF31" s="326">
        <f t="shared" si="1"/>
        <v>13228</v>
      </c>
    </row>
    <row r="32" spans="2:32" ht="12.75" customHeight="1">
      <c r="B32" s="227">
        <f t="shared" si="2"/>
        <v>27</v>
      </c>
      <c r="C32" s="77" t="s">
        <v>2</v>
      </c>
      <c r="D32" s="229">
        <v>13695.4</v>
      </c>
      <c r="E32" s="271">
        <v>837</v>
      </c>
      <c r="F32" s="279">
        <v>747</v>
      </c>
      <c r="G32" s="271">
        <v>1452</v>
      </c>
      <c r="H32" s="279">
        <v>1428</v>
      </c>
      <c r="I32" s="271">
        <v>1329</v>
      </c>
      <c r="J32" s="279">
        <v>1157</v>
      </c>
      <c r="K32" s="227">
        <v>1430</v>
      </c>
      <c r="L32" s="279">
        <v>1257</v>
      </c>
      <c r="M32" s="227">
        <v>1251</v>
      </c>
      <c r="N32" s="279">
        <v>932</v>
      </c>
      <c r="O32" s="120">
        <v>1078</v>
      </c>
      <c r="P32" s="279">
        <f>807+333</f>
        <v>1140</v>
      </c>
      <c r="Q32" s="120">
        <v>660</v>
      </c>
      <c r="R32" s="279">
        <v>550</v>
      </c>
      <c r="S32" s="120">
        <v>679</v>
      </c>
      <c r="T32" s="307">
        <v>666</v>
      </c>
      <c r="U32" s="261">
        <v>828</v>
      </c>
      <c r="V32" s="279">
        <f>490+304</f>
        <v>794</v>
      </c>
      <c r="W32" s="261">
        <v>1225</v>
      </c>
      <c r="X32" s="279">
        <v>1032</v>
      </c>
      <c r="Y32" s="261">
        <v>1265</v>
      </c>
      <c r="Z32" s="319">
        <v>1182</v>
      </c>
      <c r="AA32" s="261">
        <v>1202</v>
      </c>
      <c r="AB32" s="319"/>
      <c r="AC32" s="33"/>
      <c r="AD32" s="319"/>
      <c r="AE32" s="325">
        <f t="shared" si="0"/>
        <v>13236</v>
      </c>
      <c r="AF32" s="326">
        <f t="shared" si="1"/>
        <v>10885</v>
      </c>
    </row>
    <row r="33" spans="2:32" ht="12.75">
      <c r="B33" s="227">
        <f t="shared" si="2"/>
        <v>28</v>
      </c>
      <c r="C33" s="77" t="s">
        <v>3</v>
      </c>
      <c r="D33" s="229">
        <v>6360.3</v>
      </c>
      <c r="E33" s="271">
        <v>394</v>
      </c>
      <c r="F33" s="279">
        <v>364</v>
      </c>
      <c r="G33" s="271">
        <v>634</v>
      </c>
      <c r="H33" s="279">
        <v>624</v>
      </c>
      <c r="I33" s="271">
        <v>590</v>
      </c>
      <c r="J33" s="279">
        <v>528</v>
      </c>
      <c r="K33" s="227">
        <v>637</v>
      </c>
      <c r="L33" s="279">
        <v>540</v>
      </c>
      <c r="M33" s="227">
        <v>606</v>
      </c>
      <c r="N33" s="279">
        <v>439</v>
      </c>
      <c r="O33" s="120">
        <v>446</v>
      </c>
      <c r="P33" s="279">
        <f>458+66</f>
        <v>524</v>
      </c>
      <c r="Q33" s="120">
        <v>277</v>
      </c>
      <c r="R33" s="279">
        <v>257</v>
      </c>
      <c r="S33" s="120">
        <v>299</v>
      </c>
      <c r="T33" s="307">
        <v>328</v>
      </c>
      <c r="U33" s="261">
        <v>333</v>
      </c>
      <c r="V33" s="279">
        <f>243+138</f>
        <v>381</v>
      </c>
      <c r="W33" s="261">
        <v>488</v>
      </c>
      <c r="X33" s="279">
        <v>473</v>
      </c>
      <c r="Y33" s="261">
        <v>565</v>
      </c>
      <c r="Z33" s="319">
        <v>553</v>
      </c>
      <c r="AA33" s="261">
        <v>584</v>
      </c>
      <c r="AB33" s="319"/>
      <c r="AC33" s="33"/>
      <c r="AD33" s="319"/>
      <c r="AE33" s="325">
        <f t="shared" si="0"/>
        <v>5853</v>
      </c>
      <c r="AF33" s="326">
        <f t="shared" si="1"/>
        <v>5011</v>
      </c>
    </row>
    <row r="34" spans="2:32" ht="12.75">
      <c r="B34" s="227">
        <f t="shared" si="2"/>
        <v>29</v>
      </c>
      <c r="C34" s="77" t="s">
        <v>4</v>
      </c>
      <c r="D34" s="229">
        <v>12946.5</v>
      </c>
      <c r="E34" s="271">
        <v>628</v>
      </c>
      <c r="F34" s="279">
        <v>559</v>
      </c>
      <c r="G34" s="271">
        <v>1042</v>
      </c>
      <c r="H34" s="279">
        <v>970</v>
      </c>
      <c r="I34" s="271">
        <v>945</v>
      </c>
      <c r="J34" s="279">
        <v>892</v>
      </c>
      <c r="K34" s="227">
        <v>1084</v>
      </c>
      <c r="L34" s="279">
        <v>1039</v>
      </c>
      <c r="M34" s="227">
        <v>1009</v>
      </c>
      <c r="N34" s="279">
        <v>763</v>
      </c>
      <c r="O34" s="120">
        <v>789</v>
      </c>
      <c r="P34" s="279">
        <f>635+256</f>
        <v>891</v>
      </c>
      <c r="Q34" s="120">
        <v>484</v>
      </c>
      <c r="R34" s="279">
        <v>400</v>
      </c>
      <c r="S34" s="120">
        <v>470</v>
      </c>
      <c r="T34" s="307">
        <v>484</v>
      </c>
      <c r="U34" s="261">
        <v>566</v>
      </c>
      <c r="V34" s="279">
        <f>366+281</f>
        <v>647</v>
      </c>
      <c r="W34" s="261">
        <v>732</v>
      </c>
      <c r="X34" s="279">
        <v>687</v>
      </c>
      <c r="Y34" s="261">
        <v>1003</v>
      </c>
      <c r="Z34" s="319">
        <v>536</v>
      </c>
      <c r="AA34" s="261">
        <v>1004</v>
      </c>
      <c r="AB34" s="319"/>
      <c r="AC34" s="33"/>
      <c r="AD34" s="319"/>
      <c r="AE34" s="325">
        <f t="shared" si="0"/>
        <v>9756</v>
      </c>
      <c r="AF34" s="326">
        <f t="shared" si="1"/>
        <v>7868</v>
      </c>
    </row>
    <row r="35" spans="2:32" ht="12.75">
      <c r="B35" s="227">
        <f t="shared" si="2"/>
        <v>30</v>
      </c>
      <c r="C35" s="77" t="s">
        <v>5</v>
      </c>
      <c r="D35" s="229">
        <v>12207.7</v>
      </c>
      <c r="E35" s="271">
        <v>587</v>
      </c>
      <c r="F35" s="279">
        <v>566</v>
      </c>
      <c r="G35" s="271">
        <v>967</v>
      </c>
      <c r="H35" s="279">
        <v>1004</v>
      </c>
      <c r="I35" s="271">
        <v>883</v>
      </c>
      <c r="J35" s="279">
        <v>876</v>
      </c>
      <c r="K35" s="227">
        <v>1124</v>
      </c>
      <c r="L35" s="279">
        <v>1076</v>
      </c>
      <c r="M35" s="227">
        <v>1072</v>
      </c>
      <c r="N35" s="279">
        <v>830</v>
      </c>
      <c r="O35" s="120">
        <v>923</v>
      </c>
      <c r="P35" s="279">
        <f>688+256</f>
        <v>944</v>
      </c>
      <c r="Q35" s="120">
        <v>563</v>
      </c>
      <c r="R35" s="279">
        <v>462</v>
      </c>
      <c r="S35" s="120">
        <v>709</v>
      </c>
      <c r="T35" s="307">
        <v>567</v>
      </c>
      <c r="U35" s="261">
        <v>700</v>
      </c>
      <c r="V35" s="279">
        <f>413+260</f>
        <v>673</v>
      </c>
      <c r="W35" s="261">
        <v>939</v>
      </c>
      <c r="X35" s="279">
        <v>712</v>
      </c>
      <c r="Y35" s="261">
        <v>1003</v>
      </c>
      <c r="Z35" s="319">
        <v>847</v>
      </c>
      <c r="AA35" s="261">
        <v>1030</v>
      </c>
      <c r="AB35" s="319"/>
      <c r="AC35" s="33"/>
      <c r="AD35" s="319"/>
      <c r="AE35" s="325">
        <f t="shared" si="0"/>
        <v>10500</v>
      </c>
      <c r="AF35" s="326">
        <f t="shared" si="1"/>
        <v>8557</v>
      </c>
    </row>
    <row r="36" spans="2:32" ht="12.75">
      <c r="B36" s="227">
        <f t="shared" si="2"/>
        <v>31</v>
      </c>
      <c r="C36" s="77" t="s">
        <v>6</v>
      </c>
      <c r="D36" s="229">
        <v>4902.2</v>
      </c>
      <c r="E36" s="271">
        <v>280</v>
      </c>
      <c r="F36" s="279">
        <v>239</v>
      </c>
      <c r="G36" s="271">
        <v>448</v>
      </c>
      <c r="H36" s="279">
        <v>415</v>
      </c>
      <c r="I36" s="271">
        <v>420</v>
      </c>
      <c r="J36" s="279">
        <v>288</v>
      </c>
      <c r="K36" s="227">
        <v>497</v>
      </c>
      <c r="L36" s="279">
        <v>392</v>
      </c>
      <c r="M36" s="227">
        <v>417</v>
      </c>
      <c r="N36" s="279">
        <v>328</v>
      </c>
      <c r="O36" s="120">
        <v>375</v>
      </c>
      <c r="P36" s="279">
        <f>312+126</f>
        <v>438</v>
      </c>
      <c r="Q36" s="120">
        <v>230</v>
      </c>
      <c r="R36" s="279">
        <v>200</v>
      </c>
      <c r="S36" s="120">
        <v>257</v>
      </c>
      <c r="T36" s="307">
        <v>251</v>
      </c>
      <c r="U36" s="261">
        <v>304</v>
      </c>
      <c r="V36" s="279">
        <f>195+112</f>
        <v>307</v>
      </c>
      <c r="W36" s="261">
        <v>347</v>
      </c>
      <c r="X36" s="279">
        <v>339</v>
      </c>
      <c r="Y36" s="261">
        <v>400</v>
      </c>
      <c r="Z36" s="319">
        <v>391</v>
      </c>
      <c r="AA36" s="261">
        <v>394</v>
      </c>
      <c r="AB36" s="319"/>
      <c r="AC36" s="33"/>
      <c r="AD36" s="319"/>
      <c r="AE36" s="325">
        <f t="shared" si="0"/>
        <v>4369</v>
      </c>
      <c r="AF36" s="326">
        <f t="shared" si="1"/>
        <v>3588</v>
      </c>
    </row>
    <row r="37" spans="2:32" ht="12.75">
      <c r="B37" s="227">
        <f t="shared" si="2"/>
        <v>32</v>
      </c>
      <c r="C37" s="77" t="s">
        <v>62</v>
      </c>
      <c r="D37" s="229">
        <v>19674.8</v>
      </c>
      <c r="E37" s="271">
        <f>502+474</f>
        <v>976</v>
      </c>
      <c r="F37" s="279">
        <f>503+456</f>
        <v>959</v>
      </c>
      <c r="G37" s="271">
        <f>844+787</f>
        <v>1631</v>
      </c>
      <c r="H37" s="279">
        <f>884+794</f>
        <v>1678</v>
      </c>
      <c r="I37" s="271">
        <f>802+751</f>
        <v>1553</v>
      </c>
      <c r="J37" s="279">
        <f>817+734</f>
        <v>1551</v>
      </c>
      <c r="K37" s="227">
        <f>919+852</f>
        <v>1771</v>
      </c>
      <c r="L37" s="279">
        <f>903+817</f>
        <v>1720</v>
      </c>
      <c r="M37" s="227">
        <v>1610</v>
      </c>
      <c r="N37" s="279">
        <f>696+649</f>
        <v>1345</v>
      </c>
      <c r="O37" s="120">
        <v>1464</v>
      </c>
      <c r="P37" s="279">
        <f>616+462+237+202</f>
        <v>1517</v>
      </c>
      <c r="Q37" s="120">
        <f>440+469</f>
        <v>909</v>
      </c>
      <c r="R37" s="279">
        <f>406+333</f>
        <v>739</v>
      </c>
      <c r="S37" s="120">
        <v>1010</v>
      </c>
      <c r="T37" s="307">
        <v>887</v>
      </c>
      <c r="U37" s="261">
        <f>554+555</f>
        <v>1109</v>
      </c>
      <c r="V37" s="279">
        <f>327+306+210+196</f>
        <v>1039</v>
      </c>
      <c r="W37" s="261">
        <v>1424</v>
      </c>
      <c r="X37" s="279">
        <f>649+531</f>
        <v>1180</v>
      </c>
      <c r="Y37" s="261">
        <v>1572</v>
      </c>
      <c r="Z37" s="319">
        <v>1450</v>
      </c>
      <c r="AA37" s="261">
        <v>1563</v>
      </c>
      <c r="AB37" s="319"/>
      <c r="AC37" s="33"/>
      <c r="AD37" s="319"/>
      <c r="AE37" s="325">
        <f t="shared" si="0"/>
        <v>16592</v>
      </c>
      <c r="AF37" s="326">
        <f t="shared" si="1"/>
        <v>14065</v>
      </c>
    </row>
    <row r="38" spans="2:32" ht="12.75">
      <c r="B38" s="227">
        <f t="shared" si="2"/>
        <v>33</v>
      </c>
      <c r="C38" s="77" t="s">
        <v>7</v>
      </c>
      <c r="D38" s="229">
        <v>10939</v>
      </c>
      <c r="E38" s="271">
        <v>551</v>
      </c>
      <c r="F38" s="279">
        <v>537</v>
      </c>
      <c r="G38" s="271">
        <v>915</v>
      </c>
      <c r="H38" s="279">
        <v>891</v>
      </c>
      <c r="I38" s="271">
        <v>843</v>
      </c>
      <c r="J38" s="279">
        <v>773</v>
      </c>
      <c r="K38" s="227">
        <v>942</v>
      </c>
      <c r="L38" s="279">
        <v>824</v>
      </c>
      <c r="M38" s="227">
        <v>854</v>
      </c>
      <c r="N38" s="279">
        <v>653</v>
      </c>
      <c r="O38" s="120">
        <v>713</v>
      </c>
      <c r="P38" s="279">
        <f>694+304</f>
        <v>998</v>
      </c>
      <c r="Q38" s="120">
        <v>435</v>
      </c>
      <c r="R38" s="279">
        <v>503</v>
      </c>
      <c r="S38" s="120">
        <v>463</v>
      </c>
      <c r="T38" s="307">
        <v>563</v>
      </c>
      <c r="U38" s="261">
        <v>516</v>
      </c>
      <c r="V38" s="279">
        <f>380+236</f>
        <v>616</v>
      </c>
      <c r="W38" s="261">
        <v>745</v>
      </c>
      <c r="X38" s="279">
        <v>679</v>
      </c>
      <c r="Y38" s="261">
        <v>851</v>
      </c>
      <c r="Z38" s="319">
        <v>818</v>
      </c>
      <c r="AA38" s="261">
        <v>819</v>
      </c>
      <c r="AB38" s="319"/>
      <c r="AC38" s="33"/>
      <c r="AD38" s="319"/>
      <c r="AE38" s="325">
        <f t="shared" si="0"/>
        <v>8647</v>
      </c>
      <c r="AF38" s="326">
        <f t="shared" si="1"/>
        <v>7855</v>
      </c>
    </row>
    <row r="39" spans="2:32" ht="12.75">
      <c r="B39" s="227">
        <f t="shared" si="2"/>
        <v>34</v>
      </c>
      <c r="C39" s="77" t="s">
        <v>8</v>
      </c>
      <c r="D39" s="229">
        <v>6730.4</v>
      </c>
      <c r="E39" s="271">
        <v>377</v>
      </c>
      <c r="F39" s="279">
        <v>393</v>
      </c>
      <c r="G39" s="271">
        <v>631</v>
      </c>
      <c r="H39" s="279">
        <v>632</v>
      </c>
      <c r="I39" s="271">
        <v>573</v>
      </c>
      <c r="J39" s="279">
        <v>614</v>
      </c>
      <c r="K39" s="227">
        <v>677</v>
      </c>
      <c r="L39" s="279">
        <v>687</v>
      </c>
      <c r="M39" s="227">
        <v>581</v>
      </c>
      <c r="N39" s="279">
        <v>490</v>
      </c>
      <c r="O39" s="120">
        <v>518</v>
      </c>
      <c r="P39" s="279">
        <f>433+168</f>
        <v>601</v>
      </c>
      <c r="Q39" s="120">
        <v>321</v>
      </c>
      <c r="R39" s="279">
        <v>295</v>
      </c>
      <c r="S39" s="120">
        <v>283</v>
      </c>
      <c r="T39" s="307">
        <v>356</v>
      </c>
      <c r="U39" s="261">
        <v>377</v>
      </c>
      <c r="V39" s="279">
        <f>258+162</f>
        <v>420</v>
      </c>
      <c r="W39" s="261">
        <v>593</v>
      </c>
      <c r="X39" s="279">
        <v>511</v>
      </c>
      <c r="Y39" s="261">
        <v>688</v>
      </c>
      <c r="Z39" s="319">
        <v>611</v>
      </c>
      <c r="AA39" s="261">
        <v>674</v>
      </c>
      <c r="AB39" s="319"/>
      <c r="AC39" s="33"/>
      <c r="AD39" s="319"/>
      <c r="AE39" s="325">
        <f t="shared" si="0"/>
        <v>6293</v>
      </c>
      <c r="AF39" s="326">
        <f t="shared" si="1"/>
        <v>5610</v>
      </c>
    </row>
    <row r="40" spans="2:32" ht="12.75">
      <c r="B40" s="227">
        <f t="shared" si="2"/>
        <v>35</v>
      </c>
      <c r="C40" s="77" t="s">
        <v>9</v>
      </c>
      <c r="D40" s="229">
        <v>6586.2</v>
      </c>
      <c r="E40" s="271">
        <v>416</v>
      </c>
      <c r="F40" s="279">
        <v>358</v>
      </c>
      <c r="G40" s="271">
        <v>684</v>
      </c>
      <c r="H40" s="279">
        <v>627</v>
      </c>
      <c r="I40" s="271">
        <v>610</v>
      </c>
      <c r="J40" s="278">
        <v>574</v>
      </c>
      <c r="K40" s="227">
        <v>695</v>
      </c>
      <c r="L40" s="278">
        <v>634</v>
      </c>
      <c r="M40" s="227">
        <v>769</v>
      </c>
      <c r="N40" s="278">
        <v>457</v>
      </c>
      <c r="O40" s="120">
        <v>556</v>
      </c>
      <c r="P40" s="278">
        <f>322+141</f>
        <v>463</v>
      </c>
      <c r="Q40" s="120">
        <v>354</v>
      </c>
      <c r="R40" s="278">
        <v>210</v>
      </c>
      <c r="S40" s="120">
        <v>273</v>
      </c>
      <c r="T40" s="306">
        <v>353</v>
      </c>
      <c r="U40" s="261">
        <v>197</v>
      </c>
      <c r="V40" s="278">
        <f>204+137</f>
        <v>341</v>
      </c>
      <c r="W40" s="261">
        <v>528</v>
      </c>
      <c r="X40" s="278">
        <v>536</v>
      </c>
      <c r="Y40" s="261">
        <v>592</v>
      </c>
      <c r="Z40" s="319">
        <v>610</v>
      </c>
      <c r="AA40" s="261">
        <v>593</v>
      </c>
      <c r="AB40" s="319"/>
      <c r="AC40" s="33"/>
      <c r="AD40" s="319"/>
      <c r="AE40" s="325">
        <f t="shared" si="0"/>
        <v>6267</v>
      </c>
      <c r="AF40" s="326">
        <f t="shared" si="1"/>
        <v>5163</v>
      </c>
    </row>
    <row r="41" spans="2:32" ht="12.75">
      <c r="B41" s="227">
        <f t="shared" si="2"/>
        <v>36</v>
      </c>
      <c r="C41" s="77" t="s">
        <v>10</v>
      </c>
      <c r="D41" s="229">
        <v>2378.8</v>
      </c>
      <c r="E41" s="271">
        <v>158</v>
      </c>
      <c r="F41" s="279">
        <v>131</v>
      </c>
      <c r="G41" s="271">
        <v>249</v>
      </c>
      <c r="H41" s="279">
        <v>219</v>
      </c>
      <c r="I41" s="271">
        <v>237</v>
      </c>
      <c r="J41" s="279">
        <v>201</v>
      </c>
      <c r="K41" s="227">
        <v>300</v>
      </c>
      <c r="L41" s="279">
        <v>235</v>
      </c>
      <c r="M41" s="227">
        <v>299</v>
      </c>
      <c r="N41" s="279">
        <v>185</v>
      </c>
      <c r="O41" s="120">
        <v>204</v>
      </c>
      <c r="P41" s="279">
        <f>117+52</f>
        <v>169</v>
      </c>
      <c r="Q41" s="120">
        <v>137</v>
      </c>
      <c r="R41" s="279">
        <v>80</v>
      </c>
      <c r="S41" s="120">
        <v>120</v>
      </c>
      <c r="T41" s="307">
        <v>120</v>
      </c>
      <c r="U41" s="261">
        <v>148</v>
      </c>
      <c r="V41" s="279">
        <f>98+61</f>
        <v>159</v>
      </c>
      <c r="W41" s="261">
        <v>188</v>
      </c>
      <c r="X41" s="279">
        <v>175</v>
      </c>
      <c r="Y41" s="261">
        <v>248</v>
      </c>
      <c r="Z41" s="319">
        <v>193</v>
      </c>
      <c r="AA41" s="261">
        <v>210</v>
      </c>
      <c r="AB41" s="319"/>
      <c r="AC41" s="33"/>
      <c r="AD41" s="319"/>
      <c r="AE41" s="325">
        <f t="shared" si="0"/>
        <v>2498</v>
      </c>
      <c r="AF41" s="326">
        <f t="shared" si="1"/>
        <v>1867</v>
      </c>
    </row>
    <row r="42" spans="2:32" ht="12.75" hidden="1">
      <c r="B42" s="227">
        <f t="shared" si="2"/>
        <v>37</v>
      </c>
      <c r="C42" s="161" t="s">
        <v>93</v>
      </c>
      <c r="D42" s="235">
        <v>2648.8</v>
      </c>
      <c r="E42" s="272"/>
      <c r="F42" s="281"/>
      <c r="G42" s="244"/>
      <c r="H42" s="292"/>
      <c r="I42" s="90"/>
      <c r="J42" s="292"/>
      <c r="K42" s="90"/>
      <c r="L42" s="280"/>
      <c r="M42" s="90"/>
      <c r="N42" s="280"/>
      <c r="O42" s="90"/>
      <c r="P42" s="280"/>
      <c r="Q42" s="90"/>
      <c r="R42" s="280"/>
      <c r="S42" s="90"/>
      <c r="T42" s="308"/>
      <c r="U42" s="90"/>
      <c r="V42" s="279"/>
      <c r="W42" s="89"/>
      <c r="X42" s="279">
        <v>72</v>
      </c>
      <c r="Y42" s="89"/>
      <c r="Z42" s="319">
        <v>304</v>
      </c>
      <c r="AA42" s="33"/>
      <c r="AB42" s="319"/>
      <c r="AC42" s="33"/>
      <c r="AD42" s="319"/>
      <c r="AE42" s="325">
        <f t="shared" si="0"/>
        <v>0</v>
      </c>
      <c r="AF42" s="326">
        <f t="shared" si="1"/>
        <v>376</v>
      </c>
    </row>
    <row r="43" spans="2:32" ht="12.75" hidden="1">
      <c r="B43" s="227">
        <f t="shared" si="2"/>
        <v>38</v>
      </c>
      <c r="C43" s="161" t="s">
        <v>94</v>
      </c>
      <c r="D43" s="236">
        <v>3529.2</v>
      </c>
      <c r="E43" s="273"/>
      <c r="F43" s="281"/>
      <c r="G43" s="244"/>
      <c r="H43" s="292"/>
      <c r="I43" s="90"/>
      <c r="J43" s="292"/>
      <c r="K43" s="90"/>
      <c r="L43" s="280"/>
      <c r="M43" s="90"/>
      <c r="N43" s="280"/>
      <c r="O43" s="90"/>
      <c r="P43" s="280"/>
      <c r="Q43" s="90"/>
      <c r="R43" s="280"/>
      <c r="S43" s="90"/>
      <c r="T43" s="308"/>
      <c r="U43" s="90"/>
      <c r="V43" s="279"/>
      <c r="W43" s="89"/>
      <c r="X43" s="279">
        <v>0</v>
      </c>
      <c r="Y43" s="89"/>
      <c r="Z43" s="319">
        <v>3</v>
      </c>
      <c r="AA43" s="33"/>
      <c r="AB43" s="319"/>
      <c r="AC43" s="33"/>
      <c r="AD43" s="319"/>
      <c r="AE43" s="325">
        <f t="shared" si="0"/>
        <v>0</v>
      </c>
      <c r="AF43" s="326">
        <f t="shared" si="1"/>
        <v>3</v>
      </c>
    </row>
    <row r="44" spans="2:32" ht="12.75">
      <c r="B44" s="227">
        <f t="shared" si="2"/>
        <v>39</v>
      </c>
      <c r="C44" s="77" t="s">
        <v>11</v>
      </c>
      <c r="D44" s="229">
        <v>7175.7</v>
      </c>
      <c r="E44" s="227">
        <v>281</v>
      </c>
      <c r="F44" s="279">
        <v>225</v>
      </c>
      <c r="G44" s="227">
        <v>499</v>
      </c>
      <c r="H44" s="279">
        <v>504</v>
      </c>
      <c r="I44" s="227">
        <v>466</v>
      </c>
      <c r="J44" s="279">
        <v>457</v>
      </c>
      <c r="K44" s="227">
        <v>531</v>
      </c>
      <c r="L44" s="279">
        <v>491</v>
      </c>
      <c r="M44" s="227">
        <v>540</v>
      </c>
      <c r="N44" s="279">
        <v>459</v>
      </c>
      <c r="O44" s="120">
        <v>445</v>
      </c>
      <c r="P44" s="279">
        <f>368+69</f>
        <v>437</v>
      </c>
      <c r="Q44" s="120">
        <v>327</v>
      </c>
      <c r="R44" s="279">
        <v>244</v>
      </c>
      <c r="S44" s="120">
        <v>305</v>
      </c>
      <c r="T44" s="307">
        <v>323</v>
      </c>
      <c r="U44" s="261">
        <v>331</v>
      </c>
      <c r="V44" s="279">
        <f>148+146</f>
        <v>294</v>
      </c>
      <c r="W44" s="261">
        <v>371</v>
      </c>
      <c r="X44" s="279">
        <v>416</v>
      </c>
      <c r="Y44" s="261">
        <v>437</v>
      </c>
      <c r="Z44" s="319">
        <v>416</v>
      </c>
      <c r="AA44" s="261">
        <v>453</v>
      </c>
      <c r="AB44" s="319"/>
      <c r="AC44" s="33"/>
      <c r="AD44" s="319"/>
      <c r="AE44" s="325">
        <f t="shared" si="0"/>
        <v>4986</v>
      </c>
      <c r="AF44" s="326">
        <f t="shared" si="1"/>
        <v>4266</v>
      </c>
    </row>
    <row r="45" spans="2:32" s="13" customFormat="1" ht="12.75">
      <c r="B45" s="227">
        <f t="shared" si="2"/>
        <v>40</v>
      </c>
      <c r="C45" s="255" t="s">
        <v>56</v>
      </c>
      <c r="D45" s="230">
        <v>4256.7</v>
      </c>
      <c r="E45" s="227">
        <v>185</v>
      </c>
      <c r="F45" s="279">
        <v>196</v>
      </c>
      <c r="G45" s="227">
        <v>297</v>
      </c>
      <c r="H45" s="293">
        <v>324</v>
      </c>
      <c r="I45" s="227">
        <v>283</v>
      </c>
      <c r="J45" s="279">
        <v>242</v>
      </c>
      <c r="K45" s="227">
        <v>307</v>
      </c>
      <c r="L45" s="279">
        <v>314</v>
      </c>
      <c r="M45" s="227">
        <v>288</v>
      </c>
      <c r="N45" s="279">
        <v>278</v>
      </c>
      <c r="O45" s="120">
        <v>259</v>
      </c>
      <c r="P45" s="279">
        <f>210+50</f>
        <v>260</v>
      </c>
      <c r="Q45" s="120">
        <v>162</v>
      </c>
      <c r="R45" s="279">
        <v>120</v>
      </c>
      <c r="S45" s="120">
        <v>191</v>
      </c>
      <c r="T45" s="307">
        <v>169</v>
      </c>
      <c r="U45" s="261">
        <v>144</v>
      </c>
      <c r="V45" s="279">
        <f>140+77</f>
        <v>217</v>
      </c>
      <c r="W45" s="261">
        <v>235</v>
      </c>
      <c r="X45" s="279">
        <v>256</v>
      </c>
      <c r="Y45" s="261">
        <v>301</v>
      </c>
      <c r="Z45" s="319">
        <v>299</v>
      </c>
      <c r="AA45" s="261">
        <v>321</v>
      </c>
      <c r="AB45" s="319"/>
      <c r="AC45" s="33"/>
      <c r="AD45" s="319"/>
      <c r="AE45" s="325">
        <f t="shared" si="0"/>
        <v>2973</v>
      </c>
      <c r="AF45" s="326">
        <f t="shared" si="1"/>
        <v>2675</v>
      </c>
    </row>
    <row r="46" spans="2:32" ht="12.75">
      <c r="B46" s="227">
        <f t="shared" si="2"/>
        <v>41</v>
      </c>
      <c r="C46" s="77" t="s">
        <v>12</v>
      </c>
      <c r="D46" s="229">
        <v>5797</v>
      </c>
      <c r="E46" s="227">
        <v>269</v>
      </c>
      <c r="F46" s="279">
        <v>282</v>
      </c>
      <c r="G46" s="227">
        <v>449</v>
      </c>
      <c r="H46" s="279">
        <v>452</v>
      </c>
      <c r="I46" s="227">
        <v>440</v>
      </c>
      <c r="J46" s="279">
        <v>445</v>
      </c>
      <c r="K46" s="227">
        <v>568</v>
      </c>
      <c r="L46" s="279">
        <v>495</v>
      </c>
      <c r="M46" s="227">
        <v>403</v>
      </c>
      <c r="N46" s="279">
        <v>479</v>
      </c>
      <c r="O46" s="120">
        <v>392</v>
      </c>
      <c r="P46" s="279">
        <f>488+157</f>
        <v>645</v>
      </c>
      <c r="Q46" s="120">
        <v>436</v>
      </c>
      <c r="R46" s="279">
        <v>126</v>
      </c>
      <c r="S46" s="120">
        <v>383</v>
      </c>
      <c r="T46" s="307">
        <v>357</v>
      </c>
      <c r="U46" s="261">
        <v>365</v>
      </c>
      <c r="V46" s="279">
        <f>258+153</f>
        <v>411</v>
      </c>
      <c r="W46" s="261">
        <v>505</v>
      </c>
      <c r="X46" s="279">
        <v>421</v>
      </c>
      <c r="Y46" s="261">
        <v>497</v>
      </c>
      <c r="Z46" s="319">
        <v>445</v>
      </c>
      <c r="AA46" s="261">
        <v>487</v>
      </c>
      <c r="AB46" s="319"/>
      <c r="AC46" s="33"/>
      <c r="AD46" s="319"/>
      <c r="AE46" s="325">
        <f t="shared" si="0"/>
        <v>5194</v>
      </c>
      <c r="AF46" s="326">
        <f t="shared" si="1"/>
        <v>4558</v>
      </c>
    </row>
    <row r="47" spans="2:32" ht="12.75" hidden="1">
      <c r="B47" s="227">
        <f t="shared" si="2"/>
        <v>42</v>
      </c>
      <c r="C47" s="77" t="s">
        <v>81</v>
      </c>
      <c r="D47" s="229">
        <v>5325.4</v>
      </c>
      <c r="E47" s="269"/>
      <c r="F47" s="279">
        <v>79</v>
      </c>
      <c r="G47" s="227"/>
      <c r="H47" s="279">
        <v>127</v>
      </c>
      <c r="I47" s="90"/>
      <c r="J47" s="279">
        <v>106</v>
      </c>
      <c r="K47" s="90"/>
      <c r="L47" s="279">
        <v>127</v>
      </c>
      <c r="M47" s="90"/>
      <c r="N47" s="279">
        <v>89</v>
      </c>
      <c r="O47" s="90"/>
      <c r="P47" s="279">
        <f>82+46</f>
        <v>128</v>
      </c>
      <c r="Q47" s="90"/>
      <c r="R47" s="279">
        <v>16</v>
      </c>
      <c r="S47" s="120"/>
      <c r="T47" s="307">
        <v>61</v>
      </c>
      <c r="U47" s="261"/>
      <c r="V47" s="279">
        <v>65</v>
      </c>
      <c r="W47" s="261"/>
      <c r="X47" s="279">
        <v>309</v>
      </c>
      <c r="Y47" s="261"/>
      <c r="Z47" s="319">
        <v>405</v>
      </c>
      <c r="AA47" s="261">
        <v>96</v>
      </c>
      <c r="AB47" s="319"/>
      <c r="AC47" s="33"/>
      <c r="AD47" s="319"/>
      <c r="AE47" s="325">
        <f t="shared" si="0"/>
        <v>96</v>
      </c>
      <c r="AF47" s="326">
        <f t="shared" si="1"/>
        <v>1512</v>
      </c>
    </row>
    <row r="48" spans="2:32" ht="12.75">
      <c r="B48" s="227">
        <f t="shared" si="2"/>
        <v>43</v>
      </c>
      <c r="C48" s="77" t="s">
        <v>13</v>
      </c>
      <c r="D48" s="229">
        <v>11675.3</v>
      </c>
      <c r="E48" s="227">
        <v>529</v>
      </c>
      <c r="F48" s="279">
        <v>761</v>
      </c>
      <c r="G48" s="227">
        <v>1279</v>
      </c>
      <c r="H48" s="279">
        <v>476</v>
      </c>
      <c r="I48" s="227">
        <v>1168</v>
      </c>
      <c r="J48" s="279">
        <v>812</v>
      </c>
      <c r="K48" s="227">
        <v>1297</v>
      </c>
      <c r="L48" s="279">
        <v>1095</v>
      </c>
      <c r="M48" s="227">
        <v>1076</v>
      </c>
      <c r="N48" s="279">
        <v>887</v>
      </c>
      <c r="O48" s="120">
        <v>1163</v>
      </c>
      <c r="P48" s="279">
        <f>754+215</f>
        <v>969</v>
      </c>
      <c r="Q48" s="120">
        <v>984</v>
      </c>
      <c r="R48" s="279">
        <v>531</v>
      </c>
      <c r="S48" s="120">
        <v>741</v>
      </c>
      <c r="T48" s="307">
        <v>709</v>
      </c>
      <c r="U48" s="261">
        <v>733</v>
      </c>
      <c r="V48" s="279">
        <f>506+293</f>
        <v>799</v>
      </c>
      <c r="W48" s="261">
        <v>1749</v>
      </c>
      <c r="X48" s="279">
        <v>975</v>
      </c>
      <c r="Y48" s="261">
        <v>300</v>
      </c>
      <c r="Z48" s="319">
        <v>1137</v>
      </c>
      <c r="AA48" s="261">
        <v>755</v>
      </c>
      <c r="AB48" s="319"/>
      <c r="AC48" s="33"/>
      <c r="AD48" s="319"/>
      <c r="AE48" s="325">
        <f t="shared" si="0"/>
        <v>11774</v>
      </c>
      <c r="AF48" s="326">
        <f t="shared" si="1"/>
        <v>9151</v>
      </c>
    </row>
    <row r="49" spans="2:32" ht="12.75">
      <c r="B49" s="227">
        <f t="shared" si="2"/>
        <v>44</v>
      </c>
      <c r="C49" s="77" t="s">
        <v>14</v>
      </c>
      <c r="D49" s="229">
        <v>3803.7</v>
      </c>
      <c r="E49" s="227">
        <v>159</v>
      </c>
      <c r="F49" s="279">
        <v>212</v>
      </c>
      <c r="G49" s="227">
        <v>256</v>
      </c>
      <c r="H49" s="279">
        <v>323</v>
      </c>
      <c r="I49" s="227">
        <v>248</v>
      </c>
      <c r="J49" s="279">
        <v>336</v>
      </c>
      <c r="K49" s="227">
        <v>336</v>
      </c>
      <c r="L49" s="279">
        <v>391</v>
      </c>
      <c r="M49" s="227">
        <v>357</v>
      </c>
      <c r="N49" s="279">
        <v>331</v>
      </c>
      <c r="O49" s="120">
        <v>378</v>
      </c>
      <c r="P49" s="279">
        <f>266+26</f>
        <v>292</v>
      </c>
      <c r="Q49" s="120">
        <v>273</v>
      </c>
      <c r="R49" s="279">
        <v>115</v>
      </c>
      <c r="S49" s="120">
        <v>268</v>
      </c>
      <c r="T49" s="307">
        <v>221</v>
      </c>
      <c r="U49" s="261">
        <v>277</v>
      </c>
      <c r="V49" s="279">
        <f>170+94</f>
        <v>264</v>
      </c>
      <c r="W49" s="261">
        <v>277</v>
      </c>
      <c r="X49" s="279">
        <v>285</v>
      </c>
      <c r="Y49" s="261">
        <v>267</v>
      </c>
      <c r="Z49" s="319">
        <v>329</v>
      </c>
      <c r="AA49" s="261">
        <v>306</v>
      </c>
      <c r="AB49" s="319"/>
      <c r="AC49" s="33"/>
      <c r="AD49" s="319"/>
      <c r="AE49" s="325">
        <f t="shared" si="0"/>
        <v>3402</v>
      </c>
      <c r="AF49" s="326">
        <f t="shared" si="1"/>
        <v>3099</v>
      </c>
    </row>
    <row r="50" spans="2:32" ht="12.75">
      <c r="B50" s="227">
        <f t="shared" si="2"/>
        <v>45</v>
      </c>
      <c r="C50" s="77" t="s">
        <v>15</v>
      </c>
      <c r="D50" s="229">
        <v>13733.1</v>
      </c>
      <c r="E50" s="227">
        <v>1004</v>
      </c>
      <c r="F50" s="279">
        <v>780</v>
      </c>
      <c r="G50" s="227">
        <v>1623</v>
      </c>
      <c r="H50" s="293">
        <v>1354</v>
      </c>
      <c r="I50" s="227">
        <v>1438</v>
      </c>
      <c r="J50" s="279">
        <v>1213</v>
      </c>
      <c r="K50" s="227">
        <v>1546</v>
      </c>
      <c r="L50" s="279">
        <v>1277</v>
      </c>
      <c r="M50" s="227">
        <v>1388</v>
      </c>
      <c r="N50" s="279">
        <v>1153</v>
      </c>
      <c r="O50" s="120">
        <v>1252</v>
      </c>
      <c r="P50" s="279">
        <f>1177+338</f>
        <v>1515</v>
      </c>
      <c r="Q50" s="120">
        <v>551</v>
      </c>
      <c r="R50" s="279">
        <v>646</v>
      </c>
      <c r="S50" s="120">
        <v>921</v>
      </c>
      <c r="T50" s="307">
        <v>492</v>
      </c>
      <c r="U50" s="261">
        <v>982</v>
      </c>
      <c r="V50" s="279">
        <f>580+277</f>
        <v>857</v>
      </c>
      <c r="W50" s="261">
        <v>1234</v>
      </c>
      <c r="X50" s="279">
        <v>1063</v>
      </c>
      <c r="Y50" s="261">
        <v>1383</v>
      </c>
      <c r="Z50" s="319">
        <v>1180</v>
      </c>
      <c r="AA50" s="261">
        <v>1283</v>
      </c>
      <c r="AB50" s="319"/>
      <c r="AC50" s="33"/>
      <c r="AD50" s="319"/>
      <c r="AE50" s="325">
        <f t="shared" si="0"/>
        <v>14605</v>
      </c>
      <c r="AF50" s="326">
        <f t="shared" si="1"/>
        <v>11530</v>
      </c>
    </row>
    <row r="51" spans="2:32" ht="12.75">
      <c r="B51" s="227">
        <f t="shared" si="2"/>
        <v>46</v>
      </c>
      <c r="C51" s="77" t="s">
        <v>16</v>
      </c>
      <c r="D51" s="229">
        <v>8981.6</v>
      </c>
      <c r="E51" s="227">
        <v>543</v>
      </c>
      <c r="F51" s="279">
        <v>540</v>
      </c>
      <c r="G51" s="227">
        <v>912</v>
      </c>
      <c r="H51" s="279">
        <v>803</v>
      </c>
      <c r="I51" s="227">
        <v>822</v>
      </c>
      <c r="J51" s="279">
        <v>724</v>
      </c>
      <c r="K51" s="227">
        <v>901</v>
      </c>
      <c r="L51" s="279">
        <v>834</v>
      </c>
      <c r="M51" s="227">
        <v>397</v>
      </c>
      <c r="N51" s="279">
        <v>682</v>
      </c>
      <c r="O51" s="120">
        <v>400</v>
      </c>
      <c r="P51" s="279">
        <f>724+227</f>
        <v>951</v>
      </c>
      <c r="Q51" s="120">
        <v>246</v>
      </c>
      <c r="R51" s="279">
        <v>389</v>
      </c>
      <c r="S51" s="120">
        <v>245</v>
      </c>
      <c r="T51" s="307">
        <v>530</v>
      </c>
      <c r="U51" s="261">
        <v>313</v>
      </c>
      <c r="V51" s="279">
        <f>379+234</f>
        <v>613</v>
      </c>
      <c r="W51" s="261">
        <v>392</v>
      </c>
      <c r="X51" s="279">
        <v>628</v>
      </c>
      <c r="Y51" s="261">
        <v>438</v>
      </c>
      <c r="Z51" s="319">
        <v>682</v>
      </c>
      <c r="AA51" s="261">
        <v>477</v>
      </c>
      <c r="AB51" s="319"/>
      <c r="AC51" s="33"/>
      <c r="AD51" s="319"/>
      <c r="AE51" s="325">
        <f t="shared" si="0"/>
        <v>6086</v>
      </c>
      <c r="AF51" s="326">
        <f t="shared" si="1"/>
        <v>7376</v>
      </c>
    </row>
    <row r="52" spans="2:32" ht="12.75">
      <c r="B52" s="227">
        <f>B51+1</f>
        <v>47</v>
      </c>
      <c r="C52" s="77" t="s">
        <v>17</v>
      </c>
      <c r="D52" s="229">
        <v>4789.4</v>
      </c>
      <c r="E52" s="227">
        <v>240</v>
      </c>
      <c r="F52" s="279">
        <v>308</v>
      </c>
      <c r="G52" s="227">
        <v>401</v>
      </c>
      <c r="H52" s="293">
        <v>489</v>
      </c>
      <c r="I52" s="227">
        <v>370</v>
      </c>
      <c r="J52" s="279">
        <v>468</v>
      </c>
      <c r="K52" s="227">
        <v>427</v>
      </c>
      <c r="L52" s="279">
        <v>471</v>
      </c>
      <c r="M52" s="227">
        <v>863</v>
      </c>
      <c r="N52" s="279">
        <v>471</v>
      </c>
      <c r="O52" s="120">
        <v>816</v>
      </c>
      <c r="P52" s="279">
        <f>363+123</f>
        <v>486</v>
      </c>
      <c r="Q52" s="120">
        <v>524</v>
      </c>
      <c r="R52" s="279">
        <v>209</v>
      </c>
      <c r="S52" s="120">
        <v>592</v>
      </c>
      <c r="T52" s="307">
        <v>287</v>
      </c>
      <c r="U52" s="261">
        <v>635</v>
      </c>
      <c r="V52" s="279">
        <f>207+121</f>
        <v>328</v>
      </c>
      <c r="W52" s="261">
        <v>762</v>
      </c>
      <c r="X52" s="279">
        <v>338</v>
      </c>
      <c r="Y52" s="261">
        <v>795</v>
      </c>
      <c r="Z52" s="319">
        <v>373</v>
      </c>
      <c r="AA52" s="261">
        <v>844</v>
      </c>
      <c r="AB52" s="319"/>
      <c r="AC52" s="33"/>
      <c r="AD52" s="319"/>
      <c r="AE52" s="325">
        <f t="shared" si="0"/>
        <v>7269</v>
      </c>
      <c r="AF52" s="326">
        <f t="shared" si="1"/>
        <v>4228</v>
      </c>
    </row>
    <row r="53" spans="2:32" ht="12.75">
      <c r="B53" s="227">
        <f t="shared" si="2"/>
        <v>48</v>
      </c>
      <c r="C53" s="77" t="s">
        <v>18</v>
      </c>
      <c r="D53" s="229">
        <v>5273.8</v>
      </c>
      <c r="E53" s="227">
        <v>368</v>
      </c>
      <c r="F53" s="279">
        <v>198</v>
      </c>
      <c r="G53" s="227">
        <v>597</v>
      </c>
      <c r="H53" s="293">
        <v>450</v>
      </c>
      <c r="I53" s="227">
        <v>546</v>
      </c>
      <c r="J53" s="279">
        <v>555</v>
      </c>
      <c r="K53" s="227">
        <v>593</v>
      </c>
      <c r="L53" s="279">
        <v>579</v>
      </c>
      <c r="M53" s="227">
        <v>526</v>
      </c>
      <c r="N53" s="279">
        <v>493</v>
      </c>
      <c r="O53" s="120">
        <v>489</v>
      </c>
      <c r="P53" s="279">
        <f>538+192</f>
        <v>730</v>
      </c>
      <c r="Q53" s="120">
        <v>328</v>
      </c>
      <c r="R53" s="279">
        <v>336</v>
      </c>
      <c r="S53" s="120">
        <v>366</v>
      </c>
      <c r="T53" s="307">
        <v>463</v>
      </c>
      <c r="U53" s="261">
        <v>396</v>
      </c>
      <c r="V53" s="279">
        <f>276+165</f>
        <v>441</v>
      </c>
      <c r="W53" s="261">
        <v>488</v>
      </c>
      <c r="X53" s="279">
        <v>397</v>
      </c>
      <c r="Y53" s="261">
        <v>527</v>
      </c>
      <c r="Z53" s="319">
        <v>427</v>
      </c>
      <c r="AA53" s="261">
        <v>300</v>
      </c>
      <c r="AB53" s="319"/>
      <c r="AC53" s="33"/>
      <c r="AD53" s="319"/>
      <c r="AE53" s="325">
        <f t="shared" si="0"/>
        <v>5524</v>
      </c>
      <c r="AF53" s="326">
        <f t="shared" si="1"/>
        <v>5069</v>
      </c>
    </row>
    <row r="54" spans="2:32" ht="12.75">
      <c r="B54" s="227">
        <f t="shared" si="2"/>
        <v>49</v>
      </c>
      <c r="C54" s="77" t="s">
        <v>19</v>
      </c>
      <c r="D54" s="229">
        <v>11125.8</v>
      </c>
      <c r="E54" s="227">
        <v>714</v>
      </c>
      <c r="F54" s="279">
        <v>655</v>
      </c>
      <c r="G54" s="227">
        <v>1161</v>
      </c>
      <c r="H54" s="279">
        <v>1081</v>
      </c>
      <c r="I54" s="227">
        <v>1082</v>
      </c>
      <c r="J54" s="279">
        <v>1132</v>
      </c>
      <c r="K54" s="227">
        <v>1196</v>
      </c>
      <c r="L54" s="279">
        <v>1298</v>
      </c>
      <c r="M54" s="227">
        <v>1109</v>
      </c>
      <c r="N54" s="279">
        <v>919</v>
      </c>
      <c r="O54" s="120">
        <v>1101</v>
      </c>
      <c r="P54" s="279">
        <f>935+338</f>
        <v>1273</v>
      </c>
      <c r="Q54" s="120">
        <v>709</v>
      </c>
      <c r="R54" s="279">
        <v>597</v>
      </c>
      <c r="S54" s="120">
        <v>858</v>
      </c>
      <c r="T54" s="307">
        <v>708</v>
      </c>
      <c r="U54" s="261">
        <v>936</v>
      </c>
      <c r="V54" s="279">
        <f>600+369</f>
        <v>969</v>
      </c>
      <c r="W54" s="261">
        <v>1059</v>
      </c>
      <c r="X54" s="279">
        <v>878</v>
      </c>
      <c r="Y54" s="261">
        <v>1142</v>
      </c>
      <c r="Z54" s="319">
        <v>995</v>
      </c>
      <c r="AA54" s="261">
        <v>1022</v>
      </c>
      <c r="AB54" s="319"/>
      <c r="AC54" s="33"/>
      <c r="AD54" s="319"/>
      <c r="AE54" s="325">
        <f t="shared" si="0"/>
        <v>12089</v>
      </c>
      <c r="AF54" s="326">
        <f t="shared" si="1"/>
        <v>10505</v>
      </c>
    </row>
    <row r="55" spans="2:32" ht="12.75" hidden="1">
      <c r="B55" s="227">
        <f t="shared" si="2"/>
        <v>50</v>
      </c>
      <c r="C55" s="77" t="s">
        <v>66</v>
      </c>
      <c r="D55" s="229">
        <v>6713.5</v>
      </c>
      <c r="E55" s="241"/>
      <c r="F55" s="279">
        <v>357</v>
      </c>
      <c r="G55" s="244"/>
      <c r="H55" s="279">
        <v>460</v>
      </c>
      <c r="I55" s="271">
        <v>224.76</v>
      </c>
      <c r="J55" s="279">
        <v>506</v>
      </c>
      <c r="K55" s="227">
        <v>264</v>
      </c>
      <c r="L55" s="279">
        <v>612</v>
      </c>
      <c r="M55" s="227">
        <v>337</v>
      </c>
      <c r="N55" s="279">
        <v>1026</v>
      </c>
      <c r="O55" s="120">
        <v>366</v>
      </c>
      <c r="P55" s="279">
        <f>269+23</f>
        <v>292</v>
      </c>
      <c r="Q55" s="120">
        <v>336</v>
      </c>
      <c r="R55" s="279">
        <v>182</v>
      </c>
      <c r="S55" s="120">
        <v>249</v>
      </c>
      <c r="T55" s="307">
        <v>176</v>
      </c>
      <c r="U55" s="261">
        <v>388</v>
      </c>
      <c r="V55" s="279">
        <v>462</v>
      </c>
      <c r="W55" s="261">
        <v>550</v>
      </c>
      <c r="X55" s="279">
        <v>436</v>
      </c>
      <c r="Y55" s="261">
        <v>535</v>
      </c>
      <c r="Z55" s="319">
        <v>517</v>
      </c>
      <c r="AA55" s="261">
        <v>651</v>
      </c>
      <c r="AB55" s="319"/>
      <c r="AC55" s="33"/>
      <c r="AD55" s="319"/>
      <c r="AE55" s="325">
        <f t="shared" si="0"/>
        <v>3900.76</v>
      </c>
      <c r="AF55" s="326">
        <f t="shared" si="1"/>
        <v>5026</v>
      </c>
    </row>
    <row r="56" spans="2:32" ht="12.75" hidden="1">
      <c r="B56" s="227">
        <f t="shared" si="2"/>
        <v>51</v>
      </c>
      <c r="C56" s="77" t="s">
        <v>82</v>
      </c>
      <c r="D56" s="229">
        <v>6718.7</v>
      </c>
      <c r="E56" s="241"/>
      <c r="F56" s="279">
        <v>433</v>
      </c>
      <c r="G56" s="244"/>
      <c r="H56" s="279">
        <v>745</v>
      </c>
      <c r="I56" s="90"/>
      <c r="J56" s="279">
        <v>493</v>
      </c>
      <c r="K56" s="90"/>
      <c r="L56" s="279">
        <v>451</v>
      </c>
      <c r="M56" s="90"/>
      <c r="N56" s="279">
        <v>327</v>
      </c>
      <c r="O56" s="90"/>
      <c r="P56" s="279">
        <f>341+129</f>
        <v>470</v>
      </c>
      <c r="Q56" s="90"/>
      <c r="R56" s="279">
        <v>151</v>
      </c>
      <c r="S56" s="90"/>
      <c r="T56" s="307">
        <v>283</v>
      </c>
      <c r="U56" s="90"/>
      <c r="V56" s="279">
        <v>333</v>
      </c>
      <c r="W56" s="89"/>
      <c r="X56" s="279">
        <v>369</v>
      </c>
      <c r="Y56" s="261">
        <v>536</v>
      </c>
      <c r="Z56" s="319">
        <v>439</v>
      </c>
      <c r="AA56" s="261">
        <v>628</v>
      </c>
      <c r="AB56" s="319"/>
      <c r="AC56" s="33"/>
      <c r="AD56" s="319"/>
      <c r="AE56" s="325">
        <f t="shared" si="0"/>
        <v>1164</v>
      </c>
      <c r="AF56" s="326">
        <f t="shared" si="1"/>
        <v>4494</v>
      </c>
    </row>
    <row r="57" spans="2:32" ht="12.75" hidden="1">
      <c r="B57" s="227">
        <f t="shared" si="2"/>
        <v>52</v>
      </c>
      <c r="C57" s="77" t="s">
        <v>83</v>
      </c>
      <c r="D57" s="229">
        <v>6706.5</v>
      </c>
      <c r="E57" s="241"/>
      <c r="F57" s="279">
        <v>211</v>
      </c>
      <c r="G57" s="244"/>
      <c r="H57" s="279">
        <v>402</v>
      </c>
      <c r="I57" s="90"/>
      <c r="J57" s="279">
        <v>415</v>
      </c>
      <c r="K57" s="90"/>
      <c r="L57" s="279">
        <v>490</v>
      </c>
      <c r="M57" s="90"/>
      <c r="N57" s="279">
        <v>360</v>
      </c>
      <c r="O57" s="90"/>
      <c r="P57" s="279">
        <f>335+122</f>
        <v>457</v>
      </c>
      <c r="Q57" s="90"/>
      <c r="R57" s="279">
        <v>233</v>
      </c>
      <c r="S57" s="90"/>
      <c r="T57" s="307">
        <v>317</v>
      </c>
      <c r="U57" s="90"/>
      <c r="V57" s="279">
        <v>299</v>
      </c>
      <c r="W57" s="89"/>
      <c r="X57" s="279">
        <v>397</v>
      </c>
      <c r="Y57" s="89"/>
      <c r="Z57" s="319">
        <v>480</v>
      </c>
      <c r="AA57" s="33"/>
      <c r="AB57" s="319"/>
      <c r="AC57" s="33"/>
      <c r="AD57" s="319"/>
      <c r="AE57" s="325">
        <f t="shared" si="0"/>
        <v>0</v>
      </c>
      <c r="AF57" s="326">
        <f aca="true" t="shared" si="3" ref="AF57:AF67">F57+H57+J57+L57+N57+P57+R57+T57+V57+X57+Z57+AB57+AD57</f>
        <v>4061</v>
      </c>
    </row>
    <row r="58" spans="2:32" ht="12.75" hidden="1">
      <c r="B58" s="227">
        <f t="shared" si="2"/>
        <v>53</v>
      </c>
      <c r="C58" s="77" t="s">
        <v>89</v>
      </c>
      <c r="D58" s="237">
        <v>6708.8</v>
      </c>
      <c r="E58" s="261"/>
      <c r="F58" s="281"/>
      <c r="G58" s="244"/>
      <c r="H58" s="292"/>
      <c r="I58" s="90"/>
      <c r="J58" s="292"/>
      <c r="K58" s="90"/>
      <c r="L58" s="279"/>
      <c r="M58" s="90"/>
      <c r="N58" s="280"/>
      <c r="O58" s="90"/>
      <c r="P58" s="280"/>
      <c r="Q58" s="90"/>
      <c r="R58" s="280"/>
      <c r="S58" s="90"/>
      <c r="T58" s="307">
        <v>91</v>
      </c>
      <c r="U58" s="90"/>
      <c r="V58" s="279">
        <v>228</v>
      </c>
      <c r="W58" s="89"/>
      <c r="X58" s="279">
        <v>304</v>
      </c>
      <c r="Y58" s="89"/>
      <c r="Z58" s="319">
        <v>422</v>
      </c>
      <c r="AA58" s="33"/>
      <c r="AB58" s="319"/>
      <c r="AC58" s="33"/>
      <c r="AD58" s="319"/>
      <c r="AE58" s="325">
        <f t="shared" si="0"/>
        <v>0</v>
      </c>
      <c r="AF58" s="326">
        <f t="shared" si="3"/>
        <v>1045</v>
      </c>
    </row>
    <row r="59" spans="2:32" ht="12.75">
      <c r="B59" s="227">
        <f t="shared" si="2"/>
        <v>54</v>
      </c>
      <c r="C59" s="77" t="s">
        <v>20</v>
      </c>
      <c r="D59" s="229">
        <v>11638.3</v>
      </c>
      <c r="E59" s="227">
        <v>542</v>
      </c>
      <c r="F59" s="279">
        <v>488</v>
      </c>
      <c r="G59" s="227">
        <v>868</v>
      </c>
      <c r="H59" s="279">
        <v>840</v>
      </c>
      <c r="I59" s="227">
        <v>826</v>
      </c>
      <c r="J59" s="279">
        <v>778</v>
      </c>
      <c r="K59" s="227">
        <v>961</v>
      </c>
      <c r="L59" s="279">
        <v>822</v>
      </c>
      <c r="M59" s="227">
        <v>869</v>
      </c>
      <c r="N59" s="279">
        <v>619</v>
      </c>
      <c r="O59" s="120">
        <v>849</v>
      </c>
      <c r="P59" s="279">
        <f>711+252</f>
        <v>963</v>
      </c>
      <c r="Q59" s="120">
        <v>572</v>
      </c>
      <c r="R59" s="279">
        <v>450</v>
      </c>
      <c r="S59" s="120">
        <v>645</v>
      </c>
      <c r="T59" s="307">
        <v>604</v>
      </c>
      <c r="U59" s="261">
        <v>677</v>
      </c>
      <c r="V59" s="279">
        <f>431+241</f>
        <v>672</v>
      </c>
      <c r="W59" s="261">
        <v>773</v>
      </c>
      <c r="X59" s="279">
        <v>671</v>
      </c>
      <c r="Y59" s="261">
        <v>813</v>
      </c>
      <c r="Z59" s="319">
        <v>774</v>
      </c>
      <c r="AA59" s="261">
        <v>797</v>
      </c>
      <c r="AB59" s="319"/>
      <c r="AC59" s="33"/>
      <c r="AD59" s="319"/>
      <c r="AE59" s="325">
        <f t="shared" si="0"/>
        <v>9192</v>
      </c>
      <c r="AF59" s="326">
        <f t="shared" si="3"/>
        <v>7681</v>
      </c>
    </row>
    <row r="60" spans="2:32" ht="12.75">
      <c r="B60" s="227">
        <f t="shared" si="2"/>
        <v>55</v>
      </c>
      <c r="C60" s="77" t="s">
        <v>21</v>
      </c>
      <c r="D60" s="229">
        <v>9185</v>
      </c>
      <c r="E60" s="227">
        <v>482</v>
      </c>
      <c r="F60" s="279">
        <v>507</v>
      </c>
      <c r="G60" s="227">
        <v>797</v>
      </c>
      <c r="H60" s="279">
        <v>867</v>
      </c>
      <c r="I60" s="227">
        <v>861</v>
      </c>
      <c r="J60" s="279">
        <v>764</v>
      </c>
      <c r="K60" s="227">
        <v>924</v>
      </c>
      <c r="L60" s="279">
        <v>800</v>
      </c>
      <c r="M60" s="227">
        <v>845</v>
      </c>
      <c r="N60" s="279">
        <v>615</v>
      </c>
      <c r="O60" s="120">
        <v>885</v>
      </c>
      <c r="P60" s="279">
        <f>708+246</f>
        <v>954</v>
      </c>
      <c r="Q60" s="120">
        <v>578</v>
      </c>
      <c r="R60" s="279">
        <v>452</v>
      </c>
      <c r="S60" s="120">
        <v>663</v>
      </c>
      <c r="T60" s="307">
        <v>624</v>
      </c>
      <c r="U60" s="261">
        <v>643</v>
      </c>
      <c r="V60" s="279">
        <f>408+251</f>
        <v>659</v>
      </c>
      <c r="W60" s="261">
        <v>827</v>
      </c>
      <c r="X60" s="279">
        <v>636</v>
      </c>
      <c r="Y60" s="261">
        <v>797</v>
      </c>
      <c r="Z60" s="319">
        <v>707</v>
      </c>
      <c r="AA60" s="261">
        <v>813</v>
      </c>
      <c r="AB60" s="319"/>
      <c r="AC60" s="33"/>
      <c r="AD60" s="319"/>
      <c r="AE60" s="325">
        <f t="shared" si="0"/>
        <v>9115</v>
      </c>
      <c r="AF60" s="326">
        <f t="shared" si="3"/>
        <v>7585</v>
      </c>
    </row>
    <row r="61" spans="2:32" ht="12.75">
      <c r="B61" s="227">
        <f t="shared" si="2"/>
        <v>56</v>
      </c>
      <c r="C61" s="77" t="s">
        <v>22</v>
      </c>
      <c r="D61" s="229">
        <v>9190.4</v>
      </c>
      <c r="E61" s="227">
        <v>462</v>
      </c>
      <c r="F61" s="279">
        <v>498</v>
      </c>
      <c r="G61" s="227">
        <v>772</v>
      </c>
      <c r="H61" s="279">
        <v>858</v>
      </c>
      <c r="I61" s="227">
        <v>704</v>
      </c>
      <c r="J61" s="279">
        <v>796</v>
      </c>
      <c r="K61" s="227">
        <v>838</v>
      </c>
      <c r="L61" s="279">
        <v>850</v>
      </c>
      <c r="M61" s="266">
        <v>763</v>
      </c>
      <c r="N61" s="279">
        <v>629</v>
      </c>
      <c r="O61" s="122">
        <v>778</v>
      </c>
      <c r="P61" s="279">
        <f>674+226</f>
        <v>900</v>
      </c>
      <c r="Q61" s="122">
        <v>502</v>
      </c>
      <c r="R61" s="279">
        <v>414</v>
      </c>
      <c r="S61" s="122">
        <v>583</v>
      </c>
      <c r="T61" s="307">
        <v>553</v>
      </c>
      <c r="U61" s="262">
        <v>569</v>
      </c>
      <c r="V61" s="279">
        <f>373+215</f>
        <v>588</v>
      </c>
      <c r="W61" s="262">
        <v>711</v>
      </c>
      <c r="X61" s="279">
        <v>590</v>
      </c>
      <c r="Y61" s="262">
        <v>775</v>
      </c>
      <c r="Z61" s="319">
        <v>685</v>
      </c>
      <c r="AA61" s="262">
        <v>808</v>
      </c>
      <c r="AB61" s="319"/>
      <c r="AC61" s="33"/>
      <c r="AD61" s="319"/>
      <c r="AE61" s="325">
        <f t="shared" si="0"/>
        <v>8265</v>
      </c>
      <c r="AF61" s="326">
        <f t="shared" si="3"/>
        <v>7361</v>
      </c>
    </row>
    <row r="62" spans="2:32" ht="12.75">
      <c r="B62" s="227">
        <f t="shared" si="2"/>
        <v>57</v>
      </c>
      <c r="C62" s="77" t="s">
        <v>23</v>
      </c>
      <c r="D62" s="229">
        <v>9187.9</v>
      </c>
      <c r="E62" s="227">
        <v>579</v>
      </c>
      <c r="F62" s="279">
        <v>537</v>
      </c>
      <c r="G62" s="227">
        <v>897</v>
      </c>
      <c r="H62" s="279">
        <v>930</v>
      </c>
      <c r="I62" s="227">
        <v>842</v>
      </c>
      <c r="J62" s="279">
        <v>869</v>
      </c>
      <c r="K62" s="227">
        <v>919</v>
      </c>
      <c r="L62" s="279">
        <v>947</v>
      </c>
      <c r="M62" s="267">
        <v>834</v>
      </c>
      <c r="N62" s="279">
        <v>539</v>
      </c>
      <c r="O62" s="261">
        <v>833</v>
      </c>
      <c r="P62" s="279">
        <f>712+257</f>
        <v>969</v>
      </c>
      <c r="Q62" s="261">
        <v>554</v>
      </c>
      <c r="R62" s="279">
        <v>466</v>
      </c>
      <c r="S62" s="261">
        <v>712</v>
      </c>
      <c r="T62" s="307">
        <v>646</v>
      </c>
      <c r="U62" s="261">
        <v>691</v>
      </c>
      <c r="V62" s="279">
        <f>443+289</f>
        <v>732</v>
      </c>
      <c r="W62" s="261">
        <v>835</v>
      </c>
      <c r="X62" s="279">
        <v>677</v>
      </c>
      <c r="Y62" s="261">
        <v>834</v>
      </c>
      <c r="Z62" s="316">
        <v>765</v>
      </c>
      <c r="AA62" s="261">
        <v>847</v>
      </c>
      <c r="AB62" s="319"/>
      <c r="AC62" s="39"/>
      <c r="AD62" s="316"/>
      <c r="AE62" s="325">
        <f t="shared" si="0"/>
        <v>9377</v>
      </c>
      <c r="AF62" s="326">
        <f t="shared" si="3"/>
        <v>8077</v>
      </c>
    </row>
    <row r="63" spans="2:32" ht="12.75">
      <c r="B63" s="227">
        <f t="shared" si="2"/>
        <v>58</v>
      </c>
      <c r="C63" s="77" t="s">
        <v>24</v>
      </c>
      <c r="D63" s="229">
        <v>9187.1</v>
      </c>
      <c r="E63" s="227">
        <v>583</v>
      </c>
      <c r="F63" s="279">
        <v>541</v>
      </c>
      <c r="G63" s="227">
        <v>978</v>
      </c>
      <c r="H63" s="279">
        <v>945</v>
      </c>
      <c r="I63" s="227">
        <v>893</v>
      </c>
      <c r="J63" s="279">
        <v>863</v>
      </c>
      <c r="K63" s="227">
        <v>993</v>
      </c>
      <c r="L63" s="279">
        <v>935</v>
      </c>
      <c r="M63" s="267">
        <v>946</v>
      </c>
      <c r="N63" s="279">
        <v>738</v>
      </c>
      <c r="O63" s="261">
        <v>910</v>
      </c>
      <c r="P63" s="279">
        <f>864+304</f>
        <v>1168</v>
      </c>
      <c r="Q63" s="261">
        <v>566</v>
      </c>
      <c r="R63" s="279">
        <v>549</v>
      </c>
      <c r="S63" s="261">
        <v>730</v>
      </c>
      <c r="T63" s="307">
        <v>765</v>
      </c>
      <c r="U63" s="261">
        <v>453</v>
      </c>
      <c r="V63" s="279">
        <f>477+313</f>
        <v>790</v>
      </c>
      <c r="W63" s="261">
        <v>811</v>
      </c>
      <c r="X63" s="279">
        <v>688</v>
      </c>
      <c r="Y63" s="261">
        <v>855</v>
      </c>
      <c r="Z63" s="319">
        <v>769</v>
      </c>
      <c r="AA63" s="261">
        <v>867</v>
      </c>
      <c r="AB63" s="319"/>
      <c r="AC63" s="33"/>
      <c r="AD63" s="319"/>
      <c r="AE63" s="325">
        <f t="shared" si="0"/>
        <v>9585</v>
      </c>
      <c r="AF63" s="326">
        <f t="shared" si="3"/>
        <v>8751</v>
      </c>
    </row>
    <row r="64" spans="2:32" ht="12.75">
      <c r="B64" s="227">
        <f t="shared" si="2"/>
        <v>59</v>
      </c>
      <c r="C64" s="77" t="s">
        <v>25</v>
      </c>
      <c r="D64" s="229">
        <v>6886.8</v>
      </c>
      <c r="E64" s="227">
        <v>321</v>
      </c>
      <c r="F64" s="279">
        <v>285</v>
      </c>
      <c r="G64" s="227">
        <v>555</v>
      </c>
      <c r="H64" s="279">
        <v>487</v>
      </c>
      <c r="I64" s="227">
        <v>517</v>
      </c>
      <c r="J64" s="279">
        <v>464</v>
      </c>
      <c r="K64" s="227">
        <v>547</v>
      </c>
      <c r="L64" s="279">
        <v>508</v>
      </c>
      <c r="M64" s="267">
        <v>336</v>
      </c>
      <c r="N64" s="279">
        <v>377</v>
      </c>
      <c r="O64" s="261">
        <v>323</v>
      </c>
      <c r="P64" s="279">
        <f>341+142</f>
        <v>483</v>
      </c>
      <c r="Q64" s="261">
        <v>192</v>
      </c>
      <c r="R64" s="279">
        <v>235</v>
      </c>
      <c r="S64" s="261">
        <v>285</v>
      </c>
      <c r="T64" s="307">
        <v>321</v>
      </c>
      <c r="U64" s="261">
        <v>184</v>
      </c>
      <c r="V64" s="279">
        <f>239+148</f>
        <v>387</v>
      </c>
      <c r="W64" s="261">
        <v>258</v>
      </c>
      <c r="X64" s="279">
        <v>450</v>
      </c>
      <c r="Y64" s="261">
        <v>334</v>
      </c>
      <c r="Z64" s="319">
        <v>509</v>
      </c>
      <c r="AA64" s="261">
        <v>364</v>
      </c>
      <c r="AB64" s="319"/>
      <c r="AC64" s="33"/>
      <c r="AD64" s="319"/>
      <c r="AE64" s="325">
        <f t="shared" si="0"/>
        <v>4216</v>
      </c>
      <c r="AF64" s="326">
        <f t="shared" si="3"/>
        <v>4506</v>
      </c>
    </row>
    <row r="65" spans="2:32" ht="13.5" thickBot="1">
      <c r="B65" s="227">
        <f t="shared" si="2"/>
        <v>60</v>
      </c>
      <c r="C65" s="329" t="s">
        <v>26</v>
      </c>
      <c r="D65" s="238">
        <v>4261.1</v>
      </c>
      <c r="E65" s="335">
        <v>202</v>
      </c>
      <c r="F65" s="331">
        <v>224</v>
      </c>
      <c r="G65" s="335">
        <v>370</v>
      </c>
      <c r="H65" s="331">
        <v>384</v>
      </c>
      <c r="I65" s="335">
        <v>372</v>
      </c>
      <c r="J65" s="331">
        <v>367</v>
      </c>
      <c r="K65" s="335">
        <v>389</v>
      </c>
      <c r="L65" s="331">
        <v>359</v>
      </c>
      <c r="M65" s="334">
        <v>474</v>
      </c>
      <c r="N65" s="331">
        <v>254</v>
      </c>
      <c r="O65" s="332">
        <v>472</v>
      </c>
      <c r="P65" s="331">
        <f>240+82</f>
        <v>322</v>
      </c>
      <c r="Q65" s="332">
        <v>239</v>
      </c>
      <c r="R65" s="331">
        <v>151</v>
      </c>
      <c r="S65" s="332">
        <v>164</v>
      </c>
      <c r="T65" s="331">
        <v>207</v>
      </c>
      <c r="U65" s="261">
        <v>330</v>
      </c>
      <c r="V65" s="282">
        <f>141+101</f>
        <v>242</v>
      </c>
      <c r="W65" s="261">
        <v>411</v>
      </c>
      <c r="X65" s="282">
        <v>254</v>
      </c>
      <c r="Y65" s="261">
        <v>444</v>
      </c>
      <c r="Z65" s="320">
        <v>277</v>
      </c>
      <c r="AA65" s="261">
        <v>455</v>
      </c>
      <c r="AB65" s="318"/>
      <c r="AC65" s="41"/>
      <c r="AD65" s="318"/>
      <c r="AE65" s="325">
        <f t="shared" si="0"/>
        <v>4322</v>
      </c>
      <c r="AF65" s="326">
        <f t="shared" si="3"/>
        <v>3041</v>
      </c>
    </row>
    <row r="66" spans="2:32" ht="12.75" hidden="1">
      <c r="B66" s="227">
        <f t="shared" si="2"/>
        <v>61</v>
      </c>
      <c r="C66" s="255" t="s">
        <v>85</v>
      </c>
      <c r="D66" s="229">
        <v>28893.1</v>
      </c>
      <c r="E66" s="269"/>
      <c r="F66" s="284"/>
      <c r="G66" s="246"/>
      <c r="H66" s="333">
        <v>60</v>
      </c>
      <c r="I66" s="97"/>
      <c r="J66" s="333">
        <v>258</v>
      </c>
      <c r="K66" s="97"/>
      <c r="L66" s="333">
        <v>510</v>
      </c>
      <c r="M66" s="97"/>
      <c r="N66" s="333">
        <v>368</v>
      </c>
      <c r="O66" s="97"/>
      <c r="P66" s="333">
        <f>333+153</f>
        <v>486</v>
      </c>
      <c r="Q66" s="97"/>
      <c r="R66" s="333">
        <v>270</v>
      </c>
      <c r="S66" s="97"/>
      <c r="T66" s="330">
        <v>465</v>
      </c>
      <c r="U66" s="97"/>
      <c r="V66" s="282">
        <v>617</v>
      </c>
      <c r="W66" s="263"/>
      <c r="X66" s="282">
        <v>814</v>
      </c>
      <c r="Y66" s="263"/>
      <c r="Z66" s="316">
        <v>906</v>
      </c>
      <c r="AA66" s="39"/>
      <c r="AB66" s="319"/>
      <c r="AC66" s="33"/>
      <c r="AD66" s="319"/>
      <c r="AE66" s="325">
        <f t="shared" si="0"/>
        <v>0</v>
      </c>
      <c r="AF66" s="326">
        <f t="shared" si="3"/>
        <v>4754</v>
      </c>
    </row>
    <row r="67" spans="2:32" ht="12.75" hidden="1">
      <c r="B67" s="227">
        <f t="shared" si="2"/>
        <v>62</v>
      </c>
      <c r="C67" s="77" t="s">
        <v>86</v>
      </c>
      <c r="D67" s="229">
        <v>14015.8</v>
      </c>
      <c r="E67" s="241"/>
      <c r="F67" s="283"/>
      <c r="G67" s="245"/>
      <c r="H67" s="279">
        <v>12</v>
      </c>
      <c r="I67" s="90"/>
      <c r="J67" s="279">
        <v>49</v>
      </c>
      <c r="K67" s="90"/>
      <c r="L67" s="279">
        <v>230</v>
      </c>
      <c r="M67" s="90"/>
      <c r="N67" s="279">
        <v>120</v>
      </c>
      <c r="O67" s="90"/>
      <c r="P67" s="279">
        <f>164+67</f>
        <v>231</v>
      </c>
      <c r="Q67" s="90"/>
      <c r="R67" s="279">
        <v>161</v>
      </c>
      <c r="S67" s="90"/>
      <c r="T67" s="307">
        <v>262</v>
      </c>
      <c r="U67" s="90"/>
      <c r="V67" s="279">
        <v>334</v>
      </c>
      <c r="W67" s="89"/>
      <c r="X67" s="279">
        <v>403</v>
      </c>
      <c r="Y67" s="89"/>
      <c r="Z67" s="319">
        <v>438</v>
      </c>
      <c r="AA67" s="33"/>
      <c r="AB67" s="319"/>
      <c r="AC67" s="33"/>
      <c r="AD67" s="319"/>
      <c r="AE67" s="325">
        <f t="shared" si="0"/>
        <v>0</v>
      </c>
      <c r="AF67" s="326">
        <f t="shared" si="3"/>
        <v>2240</v>
      </c>
    </row>
    <row r="68" spans="2:32" ht="12.75" hidden="1">
      <c r="B68" s="227">
        <f t="shared" si="2"/>
        <v>63</v>
      </c>
      <c r="C68" s="255" t="s">
        <v>90</v>
      </c>
      <c r="D68" s="236">
        <v>12672.5</v>
      </c>
      <c r="E68" s="260"/>
      <c r="F68" s="284"/>
      <c r="G68" s="246"/>
      <c r="H68" s="294"/>
      <c r="I68" s="97"/>
      <c r="J68" s="294"/>
      <c r="K68" s="97"/>
      <c r="L68" s="298"/>
      <c r="M68" s="97"/>
      <c r="N68" s="298"/>
      <c r="O68" s="97"/>
      <c r="P68" s="298"/>
      <c r="Q68" s="97"/>
      <c r="R68" s="298"/>
      <c r="S68" s="97"/>
      <c r="T68" s="307">
        <v>131</v>
      </c>
      <c r="U68" s="90"/>
      <c r="V68" s="279">
        <v>882</v>
      </c>
      <c r="W68" s="89"/>
      <c r="X68" s="279">
        <v>698</v>
      </c>
      <c r="Y68" s="263"/>
      <c r="Z68" s="316">
        <v>838</v>
      </c>
      <c r="AA68" s="39"/>
      <c r="AB68" s="316"/>
      <c r="AC68" s="39"/>
      <c r="AD68" s="316"/>
      <c r="AE68" s="325">
        <f t="shared" si="0"/>
        <v>0</v>
      </c>
      <c r="AF68" s="326">
        <f t="shared" si="1"/>
        <v>2549</v>
      </c>
    </row>
    <row r="69" spans="2:32" ht="31.5" customHeight="1" hidden="1" thickBot="1">
      <c r="B69" s="266">
        <f t="shared" si="2"/>
        <v>64</v>
      </c>
      <c r="C69" s="11" t="s">
        <v>91</v>
      </c>
      <c r="D69" s="239">
        <v>11094.5</v>
      </c>
      <c r="E69" s="274"/>
      <c r="F69" s="285"/>
      <c r="G69" s="247"/>
      <c r="H69" s="295"/>
      <c r="I69" s="158"/>
      <c r="J69" s="295"/>
      <c r="K69" s="158"/>
      <c r="L69" s="299"/>
      <c r="M69" s="158"/>
      <c r="N69" s="299"/>
      <c r="O69" s="158"/>
      <c r="P69" s="299"/>
      <c r="Q69" s="158"/>
      <c r="R69" s="299"/>
      <c r="S69" s="158"/>
      <c r="T69" s="309">
        <v>40</v>
      </c>
      <c r="U69" s="248"/>
      <c r="V69" s="310">
        <v>333</v>
      </c>
      <c r="W69" s="91"/>
      <c r="X69" s="310">
        <v>546</v>
      </c>
      <c r="Y69" s="312"/>
      <c r="Z69" s="320">
        <v>671</v>
      </c>
      <c r="AA69" s="193"/>
      <c r="AB69" s="320"/>
      <c r="AC69" s="193"/>
      <c r="AD69" s="320"/>
      <c r="AE69" s="327">
        <f t="shared" si="0"/>
        <v>0</v>
      </c>
      <c r="AF69" s="328">
        <f t="shared" si="1"/>
        <v>1590</v>
      </c>
    </row>
    <row r="70" spans="2:32" ht="13.5" thickBot="1">
      <c r="B70" s="322"/>
      <c r="C70" s="321" t="s">
        <v>38</v>
      </c>
      <c r="D70" s="88">
        <f aca="true" t="shared" si="4" ref="D70:AF70">SUM(D6:D69)</f>
        <v>636108.3</v>
      </c>
      <c r="E70" s="257">
        <f t="shared" si="4"/>
        <v>21477.79</v>
      </c>
      <c r="F70" s="286">
        <f t="shared" si="4"/>
        <v>25475</v>
      </c>
      <c r="G70" s="257">
        <f t="shared" si="4"/>
        <v>34171.646</v>
      </c>
      <c r="H70" s="286">
        <f t="shared" si="4"/>
        <v>44481</v>
      </c>
      <c r="I70" s="257">
        <f t="shared" si="4"/>
        <v>34728.45</v>
      </c>
      <c r="J70" s="286">
        <f t="shared" si="4"/>
        <v>41141</v>
      </c>
      <c r="K70" s="257">
        <f t="shared" si="4"/>
        <v>39221</v>
      </c>
      <c r="L70" s="286">
        <f t="shared" si="4"/>
        <v>45188</v>
      </c>
      <c r="M70" s="257">
        <f t="shared" si="4"/>
        <v>35566</v>
      </c>
      <c r="N70" s="286">
        <f t="shared" si="4"/>
        <v>35894</v>
      </c>
      <c r="O70" s="300">
        <f t="shared" si="4"/>
        <v>33466</v>
      </c>
      <c r="P70" s="286">
        <f t="shared" si="4"/>
        <v>44211</v>
      </c>
      <c r="Q70" s="257">
        <f t="shared" si="4"/>
        <v>22014</v>
      </c>
      <c r="R70" s="286">
        <f t="shared" si="4"/>
        <v>21120</v>
      </c>
      <c r="S70" s="257">
        <f t="shared" si="4"/>
        <v>23585</v>
      </c>
      <c r="T70" s="286">
        <f t="shared" si="4"/>
        <v>27656</v>
      </c>
      <c r="U70" s="258">
        <f t="shared" si="4"/>
        <v>26766</v>
      </c>
      <c r="V70" s="311">
        <f t="shared" si="4"/>
        <v>34183</v>
      </c>
      <c r="W70" s="258">
        <f t="shared" si="4"/>
        <v>37520</v>
      </c>
      <c r="X70" s="311">
        <f t="shared" si="4"/>
        <v>38909</v>
      </c>
      <c r="Y70" s="258">
        <f t="shared" si="4"/>
        <v>39911</v>
      </c>
      <c r="Z70" s="286">
        <f t="shared" si="4"/>
        <v>44228</v>
      </c>
      <c r="AA70" s="258">
        <f t="shared" si="4"/>
        <v>41109</v>
      </c>
      <c r="AB70" s="286">
        <f t="shared" si="4"/>
        <v>0</v>
      </c>
      <c r="AC70" s="257">
        <f t="shared" si="4"/>
        <v>0</v>
      </c>
      <c r="AD70" s="286">
        <f t="shared" si="4"/>
        <v>0</v>
      </c>
      <c r="AE70" s="256">
        <f t="shared" si="4"/>
        <v>389535.88600000006</v>
      </c>
      <c r="AF70" s="256">
        <f t="shared" si="4"/>
        <v>402486</v>
      </c>
    </row>
    <row r="71" spans="6:27" ht="21.75" customHeight="1"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X71" s="25"/>
      <c r="Y71" s="25"/>
      <c r="Z71" s="25"/>
      <c r="AA71" s="25"/>
    </row>
    <row r="72" spans="2:32" ht="19.5" customHeight="1">
      <c r="B72" s="4" t="s">
        <v>92</v>
      </c>
      <c r="C72" s="4"/>
      <c r="D72" s="4"/>
      <c r="E72" s="4"/>
      <c r="F72" s="4"/>
      <c r="G72" s="4"/>
      <c r="H72" s="4"/>
      <c r="I72" s="4"/>
      <c r="J72" s="225"/>
      <c r="K72" s="22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2:32" ht="12.75">
      <c r="B73" s="4" t="s">
        <v>98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2:32" ht="12.75">
      <c r="B74" s="4" t="s">
        <v>97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</sheetData>
  <sheetProtection/>
  <mergeCells count="17">
    <mergeCell ref="B4:B5"/>
    <mergeCell ref="AC4:AD4"/>
    <mergeCell ref="AE4:AF4"/>
    <mergeCell ref="U4:V4"/>
    <mergeCell ref="W4:X4"/>
    <mergeCell ref="Y4:Z4"/>
    <mergeCell ref="AA4:AB4"/>
    <mergeCell ref="A2:Z2"/>
    <mergeCell ref="M4:N4"/>
    <mergeCell ref="O4:P4"/>
    <mergeCell ref="Q4:R4"/>
    <mergeCell ref="S4:T4"/>
    <mergeCell ref="E4:F4"/>
    <mergeCell ref="G4:H4"/>
    <mergeCell ref="I4:J4"/>
    <mergeCell ref="K4:L4"/>
    <mergeCell ref="C4:C5"/>
  </mergeCells>
  <printOptions/>
  <pageMargins left="0.67" right="0.16" top="0.2" bottom="0.2" header="0.2" footer="0.2"/>
  <pageSetup horizontalDpi="600" verticalDpi="600" orientation="landscape" paperSize="9" scale="85" r:id="rId1"/>
  <ignoredErrors>
    <ignoredError sqref="C6:C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Сычева, Марина</cp:lastModifiedBy>
  <cp:lastPrinted>2012-11-30T09:24:19Z</cp:lastPrinted>
  <dcterms:created xsi:type="dcterms:W3CDTF">2010-01-14T11:57:53Z</dcterms:created>
  <dcterms:modified xsi:type="dcterms:W3CDTF">2012-12-05T04:40:16Z</dcterms:modified>
  <cp:category/>
  <cp:version/>
  <cp:contentType/>
  <cp:contentStatus/>
</cp:coreProperties>
</file>